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ris\Dropbox\India Subsidy Inventory\0. NOV - Final draft\Sent to Kathy for Designing\"/>
    </mc:Choice>
  </mc:AlternateContent>
  <bookViews>
    <workbookView xWindow="0" yWindow="0" windowWidth="23040" windowHeight="7980" activeTab="3" xr2:uid="{00000000-000D-0000-FFFF-FFFF00000000}"/>
  </bookViews>
  <sheets>
    <sheet name="Overview" sheetId="14" r:id="rId1"/>
    <sheet name="Subsidy Classifications" sheetId="13" r:id="rId2"/>
    <sheet name="T&amp;D" sheetId="3" r:id="rId3"/>
    <sheet name="Coal" sheetId="5" r:id="rId4"/>
    <sheet name="O&amp;G" sheetId="8" r:id="rId5"/>
    <sheet name="Renewable" sheetId="4" r:id="rId6"/>
    <sheet name="Exchange Rates" sheetId="11" r:id="rId7"/>
  </sheets>
  <calcPr calcId="171027" concurrentCalc="0"/>
  <fileRecoveryPr autoRecover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8" i="8" l="1"/>
  <c r="W48" i="8"/>
  <c r="V48" i="8"/>
  <c r="U48" i="8"/>
  <c r="T48" i="8"/>
  <c r="S48" i="8"/>
  <c r="L48" i="8"/>
  <c r="K48" i="8"/>
  <c r="J48" i="8"/>
  <c r="I48" i="8"/>
  <c r="H48" i="8"/>
  <c r="G48" i="8"/>
  <c r="R47" i="8"/>
  <c r="Q47" i="8"/>
  <c r="P47" i="8"/>
  <c r="O47" i="8"/>
  <c r="N47" i="8"/>
  <c r="G15" i="8"/>
  <c r="G28" i="8"/>
  <c r="G42" i="8"/>
  <c r="S28" i="8"/>
  <c r="H28" i="8"/>
  <c r="T28" i="8"/>
  <c r="I28" i="8"/>
  <c r="U28" i="8"/>
  <c r="X28" i="8"/>
  <c r="I30" i="8"/>
  <c r="U30" i="8"/>
  <c r="X30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S4" i="8"/>
  <c r="T4" i="8"/>
  <c r="X4" i="8"/>
  <c r="S5" i="8"/>
  <c r="T5" i="8"/>
  <c r="X5" i="8"/>
  <c r="S6" i="8"/>
  <c r="T6" i="8"/>
  <c r="X6" i="8"/>
  <c r="S7" i="8"/>
  <c r="X7" i="8"/>
  <c r="S8" i="8"/>
  <c r="T8" i="8"/>
  <c r="U8" i="8"/>
  <c r="X8" i="8"/>
  <c r="S10" i="8"/>
  <c r="U10" i="8"/>
  <c r="X10" i="8"/>
  <c r="S11" i="8"/>
  <c r="U11" i="8"/>
  <c r="X11" i="8"/>
  <c r="S15" i="8"/>
  <c r="H15" i="8"/>
  <c r="T15" i="8"/>
  <c r="I15" i="8"/>
  <c r="U15" i="8"/>
  <c r="X15" i="8"/>
  <c r="S17" i="8"/>
  <c r="T17" i="8"/>
  <c r="X17" i="8"/>
  <c r="S18" i="8"/>
  <c r="T18" i="8"/>
  <c r="U18" i="8"/>
  <c r="X18" i="8"/>
  <c r="S19" i="8"/>
  <c r="T19" i="8"/>
  <c r="U19" i="8"/>
  <c r="X19" i="8"/>
  <c r="S21" i="8"/>
  <c r="T21" i="8"/>
  <c r="U21" i="8"/>
  <c r="X21" i="8"/>
  <c r="S24" i="8"/>
  <c r="T24" i="8"/>
  <c r="U24" i="8"/>
  <c r="X24" i="8"/>
  <c r="S25" i="8"/>
  <c r="T25" i="8"/>
  <c r="U25" i="8"/>
  <c r="X25" i="8"/>
  <c r="S27" i="8"/>
  <c r="T27" i="8"/>
  <c r="U27" i="8"/>
  <c r="X27" i="8"/>
  <c r="U29" i="8"/>
  <c r="X29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L4" i="8"/>
  <c r="L5" i="8"/>
  <c r="L6" i="8"/>
  <c r="L7" i="8"/>
  <c r="L8" i="8"/>
  <c r="L10" i="8"/>
  <c r="L11" i="8"/>
  <c r="L15" i="8"/>
  <c r="L17" i="8"/>
  <c r="L18" i="8"/>
  <c r="L19" i="8"/>
  <c r="L21" i="8"/>
  <c r="L24" i="8"/>
  <c r="L25" i="8"/>
  <c r="L27" i="8"/>
  <c r="L28" i="8"/>
  <c r="L29" i="8"/>
  <c r="L30" i="8"/>
  <c r="J15" i="8"/>
  <c r="J30" i="8"/>
  <c r="W28" i="3"/>
  <c r="I42" i="8"/>
  <c r="L4" i="3"/>
  <c r="L5" i="3"/>
  <c r="L7" i="3"/>
  <c r="I8" i="3"/>
  <c r="L8" i="3"/>
  <c r="L9" i="3"/>
  <c r="G10" i="3"/>
  <c r="H10" i="3"/>
  <c r="I10" i="3"/>
  <c r="L10" i="3"/>
  <c r="L11" i="3"/>
  <c r="L12" i="3"/>
  <c r="L13" i="3"/>
  <c r="G17" i="3"/>
  <c r="L17" i="3"/>
  <c r="Q4" i="4"/>
  <c r="Q5" i="4"/>
  <c r="H5" i="4"/>
  <c r="T5" i="4"/>
  <c r="I5" i="4"/>
  <c r="U5" i="4"/>
  <c r="X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S4" i="4"/>
  <c r="T4" i="4"/>
  <c r="U4" i="4"/>
  <c r="X4" i="4"/>
  <c r="T6" i="4"/>
  <c r="U6" i="4"/>
  <c r="X6" i="4"/>
  <c r="S7" i="4"/>
  <c r="T7" i="4"/>
  <c r="U7" i="4"/>
  <c r="X7" i="4"/>
  <c r="G8" i="4"/>
  <c r="S8" i="4"/>
  <c r="H8" i="4"/>
  <c r="T8" i="4"/>
  <c r="I8" i="4"/>
  <c r="U8" i="4"/>
  <c r="X8" i="4"/>
  <c r="S9" i="4"/>
  <c r="T9" i="4"/>
  <c r="U9" i="4"/>
  <c r="X9" i="4"/>
  <c r="T10" i="4"/>
  <c r="U10" i="4"/>
  <c r="X10" i="4"/>
  <c r="U11" i="4"/>
  <c r="X11" i="4"/>
  <c r="S12" i="4"/>
  <c r="T12" i="4"/>
  <c r="U12" i="4"/>
  <c r="X12" i="4"/>
  <c r="S13" i="4"/>
  <c r="T13" i="4"/>
  <c r="U13" i="4"/>
  <c r="X13" i="4"/>
  <c r="T14" i="4"/>
  <c r="U14" i="4"/>
  <c r="X14" i="4"/>
  <c r="S15" i="4"/>
  <c r="T15" i="4"/>
  <c r="U15" i="4"/>
  <c r="X15" i="4"/>
  <c r="S16" i="4"/>
  <c r="T16" i="4"/>
  <c r="U16" i="4"/>
  <c r="X16" i="4"/>
  <c r="S17" i="4"/>
  <c r="T17" i="4"/>
  <c r="U17" i="4"/>
  <c r="X17" i="4"/>
  <c r="T18" i="4"/>
  <c r="U18" i="4"/>
  <c r="X18" i="4"/>
  <c r="S19" i="4"/>
  <c r="T19" i="4"/>
  <c r="U19" i="4"/>
  <c r="X19" i="4"/>
  <c r="S20" i="4"/>
  <c r="T20" i="4"/>
  <c r="U20" i="4"/>
  <c r="X20" i="4"/>
  <c r="S23" i="4"/>
  <c r="T23" i="4"/>
  <c r="U23" i="4"/>
  <c r="X23" i="4"/>
  <c r="S24" i="4"/>
  <c r="T24" i="4"/>
  <c r="U24" i="4"/>
  <c r="X24" i="4"/>
  <c r="S26" i="4"/>
  <c r="T26" i="4"/>
  <c r="U26" i="4"/>
  <c r="X26" i="4"/>
  <c r="S27" i="4"/>
  <c r="T27" i="4"/>
  <c r="X27" i="4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S4" i="5"/>
  <c r="T4" i="5"/>
  <c r="U4" i="5"/>
  <c r="X4" i="5"/>
  <c r="G5" i="5"/>
  <c r="S5" i="5"/>
  <c r="H5" i="5"/>
  <c r="T5" i="5"/>
  <c r="U5" i="5"/>
  <c r="X5" i="5"/>
  <c r="S6" i="5"/>
  <c r="T6" i="5"/>
  <c r="U6" i="5"/>
  <c r="X6" i="5"/>
  <c r="S7" i="5"/>
  <c r="T7" i="5"/>
  <c r="U7" i="5"/>
  <c r="X7" i="5"/>
  <c r="S8" i="5"/>
  <c r="T8" i="5"/>
  <c r="U8" i="5"/>
  <c r="X8" i="5"/>
  <c r="S9" i="5"/>
  <c r="T9" i="5"/>
  <c r="U9" i="5"/>
  <c r="X9" i="5"/>
  <c r="G11" i="5"/>
  <c r="S11" i="5"/>
  <c r="H11" i="5"/>
  <c r="T11" i="5"/>
  <c r="I11" i="5"/>
  <c r="U11" i="5"/>
  <c r="X11" i="5"/>
  <c r="S13" i="5"/>
  <c r="T13" i="5"/>
  <c r="U13" i="5"/>
  <c r="X13" i="5"/>
  <c r="S14" i="5"/>
  <c r="T14" i="5"/>
  <c r="U14" i="5"/>
  <c r="X14" i="5"/>
  <c r="S15" i="5"/>
  <c r="T15" i="5"/>
  <c r="U15" i="5"/>
  <c r="X15" i="5"/>
  <c r="Q4" i="3"/>
  <c r="S4" i="3"/>
  <c r="T4" i="3"/>
  <c r="U4" i="3"/>
  <c r="X4" i="3"/>
  <c r="Q5" i="3"/>
  <c r="S5" i="3"/>
  <c r="T5" i="3"/>
  <c r="U5" i="3"/>
  <c r="X5" i="3"/>
  <c r="Q6" i="3"/>
  <c r="Q7" i="3"/>
  <c r="Q8" i="3"/>
  <c r="Q9" i="3"/>
  <c r="Q10" i="3"/>
  <c r="Q11" i="3"/>
  <c r="Q12" i="3"/>
  <c r="Q13" i="3"/>
  <c r="Q14" i="3"/>
  <c r="Q15" i="3"/>
  <c r="Q16" i="3"/>
  <c r="Q17" i="3"/>
  <c r="T7" i="3"/>
  <c r="U7" i="3"/>
  <c r="X7" i="3"/>
  <c r="T8" i="3"/>
  <c r="U8" i="3"/>
  <c r="X8" i="3"/>
  <c r="T9" i="3"/>
  <c r="U9" i="3"/>
  <c r="X9" i="3"/>
  <c r="S10" i="3"/>
  <c r="T10" i="3"/>
  <c r="U10" i="3"/>
  <c r="X10" i="3"/>
  <c r="S11" i="3"/>
  <c r="T11" i="3"/>
  <c r="U11" i="3"/>
  <c r="X11" i="3"/>
  <c r="T12" i="3"/>
  <c r="U12" i="3"/>
  <c r="X12" i="3"/>
  <c r="U13" i="3"/>
  <c r="X13" i="3"/>
  <c r="S17" i="3"/>
  <c r="T17" i="3"/>
  <c r="U17" i="3"/>
  <c r="X17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22" i="3"/>
  <c r="S22" i="3"/>
  <c r="T22" i="3"/>
  <c r="X22" i="3"/>
  <c r="P23" i="3"/>
  <c r="U23" i="3"/>
  <c r="X23" i="3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J8" i="3"/>
  <c r="J10" i="3"/>
  <c r="J11" i="5"/>
  <c r="J5" i="4"/>
  <c r="J8" i="4"/>
  <c r="Q22" i="3"/>
  <c r="Q23" i="3"/>
  <c r="L22" i="3"/>
  <c r="L23" i="3"/>
  <c r="J28" i="4"/>
  <c r="J42" i="8"/>
  <c r="J22" i="5"/>
  <c r="J24" i="3"/>
  <c r="I28" i="4"/>
  <c r="I22" i="5"/>
  <c r="I24" i="3"/>
  <c r="G28" i="4"/>
  <c r="G22" i="5"/>
  <c r="G24" i="3"/>
  <c r="J18" i="3"/>
  <c r="I18" i="3"/>
  <c r="G18" i="3"/>
  <c r="H18" i="3"/>
  <c r="H24" i="3"/>
  <c r="H22" i="5"/>
  <c r="H42" i="8"/>
  <c r="H28" i="4"/>
  <c r="X42" i="8"/>
  <c r="S36" i="4"/>
  <c r="T36" i="4"/>
  <c r="U36" i="4"/>
  <c r="X36" i="4"/>
  <c r="S35" i="4"/>
  <c r="T35" i="4"/>
  <c r="U35" i="4"/>
  <c r="X35" i="4"/>
  <c r="S34" i="4"/>
  <c r="T34" i="4"/>
  <c r="U34" i="4"/>
  <c r="X34" i="4"/>
  <c r="S33" i="4"/>
  <c r="T33" i="4"/>
  <c r="U33" i="4"/>
  <c r="X33" i="4"/>
  <c r="S32" i="4"/>
  <c r="T32" i="4"/>
  <c r="U32" i="4"/>
  <c r="X32" i="4"/>
  <c r="L36" i="4"/>
  <c r="L35" i="4"/>
  <c r="L34" i="4"/>
  <c r="L33" i="4"/>
  <c r="L32" i="4"/>
  <c r="L27" i="4"/>
  <c r="L26" i="4"/>
  <c r="L24" i="4"/>
  <c r="L23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S26" i="5"/>
  <c r="T26" i="5"/>
  <c r="U26" i="5"/>
  <c r="X26" i="5"/>
  <c r="L26" i="5"/>
  <c r="L15" i="5"/>
  <c r="L14" i="5"/>
  <c r="L13" i="5"/>
  <c r="L11" i="5"/>
  <c r="L9" i="5"/>
  <c r="L8" i="5"/>
  <c r="L7" i="5"/>
  <c r="L6" i="5"/>
  <c r="L5" i="5"/>
  <c r="L4" i="5"/>
  <c r="G31" i="3"/>
  <c r="S31" i="3"/>
  <c r="H31" i="3"/>
  <c r="T31" i="3"/>
  <c r="I31" i="3"/>
  <c r="U31" i="3"/>
  <c r="X31" i="3"/>
  <c r="S30" i="3"/>
  <c r="T30" i="3"/>
  <c r="U30" i="3"/>
  <c r="X30" i="3"/>
  <c r="G29" i="3"/>
  <c r="S29" i="3"/>
  <c r="H29" i="3"/>
  <c r="T29" i="3"/>
  <c r="I29" i="3"/>
  <c r="U29" i="3"/>
  <c r="X29" i="3"/>
  <c r="L31" i="3"/>
  <c r="L30" i="3"/>
  <c r="L29" i="3"/>
  <c r="K6" i="3"/>
  <c r="L18" i="3"/>
  <c r="R36" i="4"/>
  <c r="Q36" i="4"/>
  <c r="P36" i="4"/>
  <c r="O36" i="4"/>
  <c r="R35" i="4"/>
  <c r="Q35" i="4"/>
  <c r="P35" i="4"/>
  <c r="O35" i="4"/>
  <c r="R34" i="4"/>
  <c r="Q34" i="4"/>
  <c r="P34" i="4"/>
  <c r="O34" i="4"/>
  <c r="R33" i="4"/>
  <c r="Q33" i="4"/>
  <c r="P33" i="4"/>
  <c r="O33" i="4"/>
  <c r="R32" i="4"/>
  <c r="Q32" i="4"/>
  <c r="P32" i="4"/>
  <c r="O32" i="4"/>
  <c r="R27" i="4"/>
  <c r="O27" i="4"/>
  <c r="R26" i="4"/>
  <c r="O26" i="4"/>
  <c r="R25" i="4"/>
  <c r="O25" i="4"/>
  <c r="R24" i="4"/>
  <c r="O24" i="4"/>
  <c r="R23" i="4"/>
  <c r="O23" i="4"/>
  <c r="R22" i="4"/>
  <c r="O22" i="4"/>
  <c r="R21" i="4"/>
  <c r="O21" i="4"/>
  <c r="R20" i="4"/>
  <c r="O20" i="4"/>
  <c r="R19" i="4"/>
  <c r="O19" i="4"/>
  <c r="R18" i="4"/>
  <c r="O18" i="4"/>
  <c r="R17" i="4"/>
  <c r="O17" i="4"/>
  <c r="R16" i="4"/>
  <c r="O16" i="4"/>
  <c r="R15" i="4"/>
  <c r="O15" i="4"/>
  <c r="R14" i="4"/>
  <c r="O14" i="4"/>
  <c r="R13" i="4"/>
  <c r="O13" i="4"/>
  <c r="R12" i="4"/>
  <c r="O12" i="4"/>
  <c r="R11" i="4"/>
  <c r="O11" i="4"/>
  <c r="R10" i="4"/>
  <c r="O10" i="4"/>
  <c r="R9" i="4"/>
  <c r="O9" i="4"/>
  <c r="R8" i="4"/>
  <c r="O8" i="4"/>
  <c r="R7" i="4"/>
  <c r="O7" i="4"/>
  <c r="R6" i="4"/>
  <c r="O6" i="4"/>
  <c r="R5" i="4"/>
  <c r="O5" i="4"/>
  <c r="R4" i="4"/>
  <c r="O4" i="4"/>
  <c r="N36" i="4"/>
  <c r="N35" i="4"/>
  <c r="N34" i="4"/>
  <c r="N33" i="4"/>
  <c r="N32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R41" i="8"/>
  <c r="O41" i="8"/>
  <c r="R40" i="8"/>
  <c r="O40" i="8"/>
  <c r="R39" i="8"/>
  <c r="O39" i="8"/>
  <c r="R38" i="8"/>
  <c r="O38" i="8"/>
  <c r="R37" i="8"/>
  <c r="O37" i="8"/>
  <c r="R36" i="8"/>
  <c r="O36" i="8"/>
  <c r="R35" i="8"/>
  <c r="O35" i="8"/>
  <c r="R34" i="8"/>
  <c r="O34" i="8"/>
  <c r="R33" i="8"/>
  <c r="O33" i="8"/>
  <c r="R32" i="8"/>
  <c r="O32" i="8"/>
  <c r="R31" i="8"/>
  <c r="O31" i="8"/>
  <c r="R30" i="8"/>
  <c r="O30" i="8"/>
  <c r="R29" i="8"/>
  <c r="O29" i="8"/>
  <c r="R28" i="8"/>
  <c r="O28" i="8"/>
  <c r="R27" i="8"/>
  <c r="O27" i="8"/>
  <c r="R26" i="8"/>
  <c r="O26" i="8"/>
  <c r="R25" i="8"/>
  <c r="O25" i="8"/>
  <c r="R24" i="8"/>
  <c r="O24" i="8"/>
  <c r="R23" i="8"/>
  <c r="O23" i="8"/>
  <c r="R22" i="8"/>
  <c r="O22" i="8"/>
  <c r="R21" i="8"/>
  <c r="O21" i="8"/>
  <c r="R20" i="8"/>
  <c r="O20" i="8"/>
  <c r="R19" i="8"/>
  <c r="O19" i="8"/>
  <c r="R18" i="8"/>
  <c r="O18" i="8"/>
  <c r="R17" i="8"/>
  <c r="O17" i="8"/>
  <c r="R16" i="8"/>
  <c r="O16" i="8"/>
  <c r="R15" i="8"/>
  <c r="O15" i="8"/>
  <c r="R14" i="8"/>
  <c r="O14" i="8"/>
  <c r="R13" i="8"/>
  <c r="O13" i="8"/>
  <c r="R12" i="8"/>
  <c r="O12" i="8"/>
  <c r="R11" i="8"/>
  <c r="O11" i="8"/>
  <c r="R10" i="8"/>
  <c r="O10" i="8"/>
  <c r="R9" i="8"/>
  <c r="O9" i="8"/>
  <c r="R8" i="8"/>
  <c r="O8" i="8"/>
  <c r="R7" i="8"/>
  <c r="O7" i="8"/>
  <c r="R6" i="8"/>
  <c r="O6" i="8"/>
  <c r="R5" i="8"/>
  <c r="O5" i="8"/>
  <c r="R4" i="8"/>
  <c r="O4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R26" i="5"/>
  <c r="Q26" i="5"/>
  <c r="P26" i="5"/>
  <c r="O26" i="5"/>
  <c r="R21" i="5"/>
  <c r="O21" i="5"/>
  <c r="R20" i="5"/>
  <c r="O20" i="5"/>
  <c r="R19" i="5"/>
  <c r="O19" i="5"/>
  <c r="R18" i="5"/>
  <c r="O18" i="5"/>
  <c r="R17" i="5"/>
  <c r="O17" i="5"/>
  <c r="R16" i="5"/>
  <c r="O16" i="5"/>
  <c r="R15" i="5"/>
  <c r="O15" i="5"/>
  <c r="R14" i="5"/>
  <c r="O14" i="5"/>
  <c r="R13" i="5"/>
  <c r="O13" i="5"/>
  <c r="R12" i="5"/>
  <c r="O12" i="5"/>
  <c r="R11" i="5"/>
  <c r="O11" i="5"/>
  <c r="R10" i="5"/>
  <c r="O10" i="5"/>
  <c r="R9" i="5"/>
  <c r="O9" i="5"/>
  <c r="R8" i="5"/>
  <c r="O8" i="5"/>
  <c r="R7" i="5"/>
  <c r="O7" i="5"/>
  <c r="R6" i="5"/>
  <c r="O6" i="5"/>
  <c r="R5" i="5"/>
  <c r="O5" i="5"/>
  <c r="R4" i="5"/>
  <c r="O4" i="5"/>
  <c r="N26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R31" i="3"/>
  <c r="Q31" i="3"/>
  <c r="P31" i="3"/>
  <c r="O31" i="3"/>
  <c r="R30" i="3"/>
  <c r="Q30" i="3"/>
  <c r="P30" i="3"/>
  <c r="O30" i="3"/>
  <c r="R29" i="3"/>
  <c r="Q29" i="3"/>
  <c r="P29" i="3"/>
  <c r="O29" i="3"/>
  <c r="R28" i="3"/>
  <c r="Q28" i="3"/>
  <c r="P28" i="3"/>
  <c r="O28" i="3"/>
  <c r="R23" i="3"/>
  <c r="O23" i="3"/>
  <c r="R22" i="3"/>
  <c r="O22" i="3"/>
  <c r="N31" i="3"/>
  <c r="N30" i="3"/>
  <c r="N29" i="3"/>
  <c r="N28" i="3"/>
  <c r="N23" i="3"/>
  <c r="N22" i="3"/>
  <c r="R17" i="3"/>
  <c r="N17" i="3"/>
  <c r="R16" i="3"/>
  <c r="O16" i="3"/>
  <c r="N16" i="3"/>
  <c r="R15" i="3"/>
  <c r="O15" i="3"/>
  <c r="N15" i="3"/>
  <c r="R14" i="3"/>
  <c r="O14" i="3"/>
  <c r="N14" i="3"/>
  <c r="R13" i="3"/>
  <c r="O13" i="3"/>
  <c r="N13" i="3"/>
  <c r="R12" i="3"/>
  <c r="O12" i="3"/>
  <c r="N12" i="3"/>
  <c r="R11" i="3"/>
  <c r="O11" i="3"/>
  <c r="N11" i="3"/>
  <c r="R10" i="3"/>
  <c r="O10" i="3"/>
  <c r="N10" i="3"/>
  <c r="R9" i="3"/>
  <c r="O9" i="3"/>
  <c r="N9" i="3"/>
  <c r="R8" i="3"/>
  <c r="O8" i="3"/>
  <c r="N8" i="3"/>
  <c r="R7" i="3"/>
  <c r="O7" i="3"/>
  <c r="N7" i="3"/>
  <c r="R6" i="3"/>
  <c r="O6" i="3"/>
  <c r="N6" i="3"/>
  <c r="R5" i="3"/>
  <c r="O5" i="3"/>
  <c r="N5" i="3"/>
  <c r="R4" i="3"/>
  <c r="O4" i="3"/>
  <c r="N4" i="3"/>
  <c r="S42" i="8"/>
  <c r="T42" i="8"/>
  <c r="U42" i="8"/>
  <c r="V8" i="8"/>
  <c r="V12" i="8"/>
  <c r="V13" i="8"/>
  <c r="V14" i="8"/>
  <c r="V15" i="8"/>
  <c r="V16" i="8"/>
  <c r="V19" i="8"/>
  <c r="V21" i="8"/>
  <c r="V24" i="8"/>
  <c r="V25" i="8"/>
  <c r="V26" i="8"/>
  <c r="V29" i="8"/>
  <c r="V30" i="8"/>
  <c r="V42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1" i="8"/>
  <c r="W24" i="8"/>
  <c r="W25" i="8"/>
  <c r="W26" i="8"/>
  <c r="W27" i="8"/>
  <c r="W28" i="8"/>
  <c r="W29" i="8"/>
  <c r="W30" i="8"/>
  <c r="W42" i="8"/>
  <c r="K30" i="8"/>
  <c r="K29" i="8"/>
  <c r="K28" i="8"/>
  <c r="K27" i="8"/>
  <c r="K26" i="8"/>
  <c r="K25" i="8"/>
  <c r="K24" i="8"/>
  <c r="K21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V26" i="4"/>
  <c r="W26" i="4"/>
  <c r="K26" i="4"/>
  <c r="V24" i="4"/>
  <c r="V23" i="4"/>
  <c r="V17" i="4"/>
  <c r="V16" i="4"/>
  <c r="V15" i="4"/>
  <c r="V14" i="4"/>
  <c r="V11" i="4"/>
  <c r="V10" i="4"/>
  <c r="V6" i="4"/>
  <c r="V5" i="4"/>
  <c r="V9" i="4"/>
  <c r="V8" i="4"/>
  <c r="V7" i="4"/>
  <c r="V4" i="4"/>
  <c r="V13" i="5"/>
  <c r="V11" i="5"/>
  <c r="V9" i="5"/>
  <c r="V8" i="5"/>
  <c r="V7" i="5"/>
  <c r="V6" i="5"/>
  <c r="V5" i="5"/>
  <c r="V4" i="5"/>
  <c r="V4" i="3"/>
  <c r="V5" i="3"/>
  <c r="V7" i="3"/>
  <c r="V8" i="3"/>
  <c r="V9" i="3"/>
  <c r="V10" i="3"/>
  <c r="V11" i="3"/>
  <c r="V12" i="3"/>
  <c r="V13" i="3"/>
  <c r="X18" i="3"/>
  <c r="W4" i="3"/>
  <c r="W5" i="3"/>
  <c r="W6" i="3"/>
  <c r="W7" i="3"/>
  <c r="W8" i="3"/>
  <c r="W9" i="3"/>
  <c r="W10" i="3"/>
  <c r="W11" i="3"/>
  <c r="W12" i="3"/>
  <c r="W13" i="3"/>
  <c r="W17" i="3"/>
  <c r="W18" i="3"/>
  <c r="V18" i="3"/>
  <c r="U18" i="3"/>
  <c r="T18" i="3"/>
  <c r="S18" i="3"/>
  <c r="K17" i="3"/>
  <c r="K4" i="3"/>
  <c r="K5" i="3"/>
  <c r="K7" i="3"/>
  <c r="K8" i="3"/>
  <c r="K9" i="3"/>
  <c r="K10" i="3"/>
  <c r="K11" i="3"/>
  <c r="K12" i="3"/>
  <c r="K13" i="3"/>
  <c r="K18" i="3"/>
  <c r="V23" i="3"/>
  <c r="X32" i="3"/>
  <c r="W29" i="3"/>
  <c r="W30" i="3"/>
  <c r="W31" i="3"/>
  <c r="W32" i="3"/>
  <c r="V32" i="3"/>
  <c r="U32" i="3"/>
  <c r="T32" i="3"/>
  <c r="S32" i="3"/>
  <c r="L32" i="3"/>
  <c r="K28" i="3"/>
  <c r="K29" i="3"/>
  <c r="K30" i="3"/>
  <c r="K31" i="3"/>
  <c r="K32" i="3"/>
  <c r="J32" i="3"/>
  <c r="I32" i="3"/>
  <c r="H32" i="3"/>
  <c r="X24" i="3"/>
  <c r="W22" i="3"/>
  <c r="W23" i="3"/>
  <c r="W24" i="3"/>
  <c r="V24" i="3"/>
  <c r="U24" i="3"/>
  <c r="T24" i="3"/>
  <c r="S24" i="3"/>
  <c r="L24" i="3"/>
  <c r="K22" i="3"/>
  <c r="K23" i="3"/>
  <c r="K24" i="3"/>
  <c r="L42" i="8"/>
  <c r="L22" i="5"/>
  <c r="L28" i="4"/>
  <c r="S22" i="5"/>
  <c r="K5" i="5"/>
  <c r="K4" i="5"/>
  <c r="K6" i="5"/>
  <c r="K7" i="5"/>
  <c r="K8" i="5"/>
  <c r="K9" i="5"/>
  <c r="K10" i="5"/>
  <c r="K11" i="5"/>
  <c r="K13" i="5"/>
  <c r="K14" i="5"/>
  <c r="K15" i="5"/>
  <c r="K22" i="5"/>
  <c r="G32" i="3"/>
  <c r="T37" i="4"/>
  <c r="U37" i="4"/>
  <c r="W32" i="4"/>
  <c r="W33" i="4"/>
  <c r="W34" i="4"/>
  <c r="W35" i="4"/>
  <c r="W36" i="4"/>
  <c r="W37" i="4"/>
  <c r="X37" i="4"/>
  <c r="S37" i="4"/>
  <c r="T28" i="4"/>
  <c r="U28" i="4"/>
  <c r="V28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3" i="4"/>
  <c r="W24" i="4"/>
  <c r="W27" i="4"/>
  <c r="S28" i="4"/>
  <c r="K32" i="4"/>
  <c r="K33" i="4"/>
  <c r="K34" i="4"/>
  <c r="K35" i="4"/>
  <c r="K36" i="4"/>
  <c r="K37" i="4"/>
  <c r="L37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3" i="4"/>
  <c r="K24" i="4"/>
  <c r="K27" i="4"/>
  <c r="K4" i="4"/>
  <c r="H37" i="4"/>
  <c r="I37" i="4"/>
  <c r="G37" i="4"/>
  <c r="H27" i="5"/>
  <c r="I27" i="5"/>
  <c r="J27" i="5"/>
  <c r="K26" i="5"/>
  <c r="K27" i="5"/>
  <c r="L27" i="5"/>
  <c r="G27" i="5"/>
  <c r="T27" i="5"/>
  <c r="U27" i="5"/>
  <c r="V27" i="5"/>
  <c r="W26" i="5"/>
  <c r="W27" i="5"/>
  <c r="X27" i="5"/>
  <c r="S27" i="5"/>
  <c r="T22" i="5"/>
  <c r="U22" i="5"/>
  <c r="V22" i="5"/>
  <c r="W4" i="5"/>
  <c r="W5" i="5"/>
  <c r="W6" i="5"/>
  <c r="W7" i="5"/>
  <c r="W8" i="5"/>
  <c r="W9" i="5"/>
  <c r="W10" i="5"/>
  <c r="W11" i="5"/>
  <c r="W13" i="5"/>
  <c r="W14" i="5"/>
  <c r="W15" i="5"/>
  <c r="X28" i="4"/>
  <c r="K28" i="4"/>
  <c r="W28" i="4"/>
  <c r="W22" i="5"/>
  <c r="X22" i="5"/>
  <c r="K42" i="8"/>
</calcChain>
</file>

<file path=xl/sharedStrings.xml><?xml version="1.0" encoding="utf-8"?>
<sst xmlns="http://schemas.openxmlformats.org/spreadsheetml/2006/main" count="1435" uniqueCount="334">
  <si>
    <t>Coal</t>
  </si>
  <si>
    <t>Total</t>
  </si>
  <si>
    <t>S.No.</t>
  </si>
  <si>
    <t>Subsidy</t>
  </si>
  <si>
    <t>FY 14</t>
  </si>
  <si>
    <t>FY 15</t>
  </si>
  <si>
    <t>FY 16</t>
  </si>
  <si>
    <t>FY 17</t>
  </si>
  <si>
    <t xml:space="preserve">Ujwal Discom Assurance Yojana (UDAY) </t>
  </si>
  <si>
    <t>not in place</t>
  </si>
  <si>
    <t>Deendayal Upadhyaya Gram Jyoti Yojana" (DDUGJY)</t>
  </si>
  <si>
    <t>Integrated Power Development Scheme (IPDS)</t>
  </si>
  <si>
    <t xml:space="preserve">Subsidised loans from multilateral organisations </t>
  </si>
  <si>
    <t>not available</t>
  </si>
  <si>
    <t xml:space="preserve">  not available</t>
  </si>
  <si>
    <t>Power System Development Fund (PSDF)</t>
  </si>
  <si>
    <t xml:space="preserve">Financial Restructuring of State Distribution Companies (Discoms) scheme. </t>
  </si>
  <si>
    <t>Fund for Power System Improvement in North Eastern States excluding Arunachal Pradesh and Sikkim</t>
  </si>
  <si>
    <t>Fund for Strengthening of Transmission Systems in the States of Arunachal Pradesh and Sikkim</t>
  </si>
  <si>
    <t>Fund for Energy efficiency and energy conservation activities implemented through Bureau of Energy Efficiency (BEE)</t>
  </si>
  <si>
    <t xml:space="preserve">Research and Training support by Ministry of Power </t>
  </si>
  <si>
    <t>National Electricity Fund (NEF) (Interest subsidy) Scheme</t>
  </si>
  <si>
    <t>-</t>
  </si>
  <si>
    <t>National Smart Grid Mission</t>
  </si>
  <si>
    <t>Green energy corridor projects</t>
  </si>
  <si>
    <t>Government revenue foregone</t>
  </si>
  <si>
    <t>Custom duty rebates on transmission and distribution equipment</t>
  </si>
  <si>
    <t xml:space="preserve">  not calculated </t>
  </si>
  <si>
    <t xml:space="preserve">not calculated </t>
  </si>
  <si>
    <t>Excise duty rebates on transmission and distribution equipment</t>
  </si>
  <si>
    <t xml:space="preserve">not applicable </t>
  </si>
  <si>
    <t xml:space="preserve">  not applicable </t>
  </si>
  <si>
    <t xml:space="preserve"> not applicable </t>
  </si>
  <si>
    <t>Low cost loan from multilateral agencies/ bilateral agencies</t>
  </si>
  <si>
    <t>Electricity duty rebates for some consumer categories</t>
  </si>
  <si>
    <t>Provision of goods or services below market value</t>
  </si>
  <si>
    <t>Unclaimed return on equity</t>
  </si>
  <si>
    <t>Income or price support</t>
  </si>
  <si>
    <t>Viability Gap Funding (VGF) Scheme- 750 MW, 2000 MW, 5000 MW under Jawaharlal Nehru National Solar Mission (JNNSM) Phase ll</t>
  </si>
  <si>
    <t>Off-Grid and Decentralized Solar Application Scheme</t>
  </si>
  <si>
    <t xml:space="preserve">  not available </t>
  </si>
  <si>
    <t>Scheme for development of Solar Parks and Ultra Mega Solar Power Projects</t>
  </si>
  <si>
    <t>Support for Research and Development activities</t>
  </si>
  <si>
    <t>Grid Connected SPV Rooftop and small solar power programme</t>
  </si>
  <si>
    <t>National Biogas and Manure Management Programme (NBMMP)</t>
  </si>
  <si>
    <t>Scheme for setting up of over 300 MW of solar power projects by Defence establishments</t>
  </si>
  <si>
    <t>Scheme for setting up of 1000 MW of Grid-Connected Solar PV Power projects by Central Public Sector Undertakings (CPSUs) under Batch- V of Phase II of JNNSM</t>
  </si>
  <si>
    <t>MNRE Small Hydro Incentive Schemes</t>
  </si>
  <si>
    <t>Financing and non-financing schemes: IREDA and other organisations</t>
  </si>
  <si>
    <t>Canal Bank/ Canal Top Scheme</t>
  </si>
  <si>
    <t>Support for Grid Interactive Biomass Power and Bagasse Cogeneration in Sugar Mills</t>
  </si>
  <si>
    <t>Biomass Gasifier Programme</t>
  </si>
  <si>
    <t>Small Wind Energy and Hybrid Systems (SWES) Programme</t>
  </si>
  <si>
    <t>Capital subsidy scheme for promoting Solar Photovoltaic water pumping systems for irrigation purpose</t>
  </si>
  <si>
    <t>Biogas Power (off-grid) Programme for decentralized power generation applications and thermal applications</t>
  </si>
  <si>
    <t>Implementation of Wind Resource Assessment in Uncovered/New Areas under NCEF Scheme and subsequent development.</t>
  </si>
  <si>
    <t>Scheme for installation of Solar Charging Stations with LED lanterns</t>
  </si>
  <si>
    <t>Akshay Urja Shops Programme</t>
  </si>
  <si>
    <t>Accelerated Depreciation</t>
  </si>
  <si>
    <t>Tax breaks on Excise and Custom Duty: Solar &amp; Wind</t>
  </si>
  <si>
    <t>Waiver of inter-state transmission charges and losses on transmission of electricity generated from solar and wind  plants</t>
  </si>
  <si>
    <t>Generation Based Incentive (GBI) for Grid Interactive Wind Power Projects</t>
  </si>
  <si>
    <t>Off-grid Solar PV and Thermal Applications</t>
  </si>
  <si>
    <t>Energisation of Street Lights through Solar Power</t>
  </si>
  <si>
    <t>CM’S Solar Powered Green House Scheme</t>
  </si>
  <si>
    <t>CM’s Solar Rooftop Capital Incentive Scheme</t>
  </si>
  <si>
    <t xml:space="preserve">Feed-in-Tariff Benefits </t>
  </si>
  <si>
    <t>Conservation and Safety in Coal Mines and Development of Transport Infrastructure under Coal Conservation and Development advisory Committee (CCDA)</t>
  </si>
  <si>
    <t>Detailed Drilling in Non-CIL /Captive Mining Blocks</t>
  </si>
  <si>
    <t>Promotional (Regional) Exploration in Coal and Lignite</t>
  </si>
  <si>
    <t xml:space="preserve">Coal Mines Pension Scheme </t>
  </si>
  <si>
    <t>Research and Development (R&amp;D) Programs in the Coal Sector</t>
  </si>
  <si>
    <t>Credit support from Multilateral organisations</t>
  </si>
  <si>
    <t xml:space="preserve"> not available</t>
  </si>
  <si>
    <t>Environmental Measures and Subsidence Control</t>
  </si>
  <si>
    <t xml:space="preserve">Concessional Custom Duty Rates on import of Coal </t>
  </si>
  <si>
    <t>Concessional Excise Duty Rates on Coal Production</t>
  </si>
  <si>
    <t>Concessional Duty Rebates on Coal Mining Equipment</t>
  </si>
  <si>
    <t>Concessional rates Railway Freight for long distance Coal Transportation</t>
  </si>
  <si>
    <t>Government Revenue Foregone from coal distribution through MoU route (rather than competitive bidding route)</t>
  </si>
  <si>
    <t xml:space="preserve">   not applicable </t>
  </si>
  <si>
    <t>Lack of regulator in Coal Sector</t>
  </si>
  <si>
    <t xml:space="preserve">  not calculated</t>
  </si>
  <si>
    <t>Lower Value Added Tax (VAT) Rates on sale of coal in state of Chhattisgarh</t>
  </si>
  <si>
    <t>Central Government Support to Renewable Energy Sector (in INR crore)</t>
  </si>
  <si>
    <t>Central Government Support to Renewable Energy Sector (in USD million)</t>
  </si>
  <si>
    <t>State Government Support to Renewable Energy Sector in state of Tamil Nadu (in INR crore)</t>
  </si>
  <si>
    <t>State Government Support to Renewable Energy Sector in state of Tamil Nadu (in USD million)</t>
  </si>
  <si>
    <t>Crore</t>
  </si>
  <si>
    <t>Freight Subsidy on Domestic LPG</t>
  </si>
  <si>
    <t>not applicable</t>
  </si>
  <si>
    <t>Freight Subsidy on PDS Kerosene</t>
  </si>
  <si>
    <t>Fiscal Subsidy on LPG</t>
  </si>
  <si>
    <t>Fiscal Subsidy on Kerosene</t>
  </si>
  <si>
    <t>DBTL Subsidy on Domestic LPG (Subsidised)^</t>
  </si>
  <si>
    <t>Rajiv Gandhi Gramin LPG Vitaran Yojana</t>
  </si>
  <si>
    <t>Permanent Cash Advance pertaining to DBTL</t>
  </si>
  <si>
    <t>Project Management Expenditure pertaining to DBTL</t>
  </si>
  <si>
    <t>Expenses on LPG Subsidies for the Poor (Ujjwala Scheme)</t>
  </si>
  <si>
    <t>DBTK (Actual and BE)</t>
  </si>
  <si>
    <t xml:space="preserve">Cash Incentives for Kerosene Distribution Reforms* </t>
  </si>
  <si>
    <t>Assistance to States/UTs for establishment of Institutional mechanism for direct transfer of subsidy in cash for PDS Kerosene beneficiaries* (RE and BE)</t>
  </si>
  <si>
    <t xml:space="preserve">Natural Gas Subsidy Scheme for North Eastern States </t>
  </si>
  <si>
    <t>Under Recovery on Diesel#</t>
  </si>
  <si>
    <t>Under Recovery on Domestic LPG (Subsidised)^</t>
  </si>
  <si>
    <t>Under Recovery on PDS Kerosene</t>
  </si>
  <si>
    <t xml:space="preserve">Excise Duty Exemption on Domestic LPG </t>
  </si>
  <si>
    <t xml:space="preserve">Sales Tax Differential on LPG under Declared Good Status </t>
  </si>
  <si>
    <t>Excise Duty Exemption on PDS Kerosene</t>
  </si>
  <si>
    <t>Customs duty exemption to power companies purchasing imported LNG</t>
  </si>
  <si>
    <t>Oil Industry Development Board (OIDB) grants and subsidies on oil and gas</t>
  </si>
  <si>
    <t xml:space="preserve">Expenditure towards ISPRL towards strategic petroleum reserves* </t>
  </si>
  <si>
    <t>Capital Outlay on Petroleum</t>
  </si>
  <si>
    <t>Income Tax exemption to companies engaged in production of “mineral oil” from NELP blocks</t>
  </si>
  <si>
    <t>not computed</t>
  </si>
  <si>
    <t>Differential taxes between Indian and foreign companies engaged in E&amp;P</t>
  </si>
  <si>
    <t>Income Tax exemption to foreign companies involved in storage and selling of crude oil in India</t>
  </si>
  <si>
    <t>Special allowances to companies engaged in E&amp;P</t>
  </si>
  <si>
    <t>Special Allowance/Deduction for site restoration expenses</t>
  </si>
  <si>
    <t xml:space="preserve">Allowance for investment in new machinery </t>
  </si>
  <si>
    <t>Allowance/Incentives for investment in cross-country pipeline network for distribution and storage facilities</t>
  </si>
  <si>
    <t>Allowance/Incentives for capital expenditure on research</t>
  </si>
  <si>
    <t xml:space="preserve">Customs duty exemption to  import of specified goods required for petroleum operations </t>
  </si>
  <si>
    <t>Concessional Royalty under Hydrocarbon Exploration and Licensing Policy (HELP)</t>
  </si>
  <si>
    <t># Under recovery on Diesel is only upto 18th October '2014</t>
  </si>
  <si>
    <t>^Government has taken decision to restrict the supply of subsidized LPG cylinders for each consumer to 12 cylinders annually</t>
  </si>
  <si>
    <t>* The figures of these items of subsidies for 2016-17 is a revised estimate (RE) as per Union Budget 2017-18</t>
  </si>
  <si>
    <t>&amp; The value for 2017-18 is a Budget Estimate (BE) as per Union Budget 2017-18</t>
  </si>
  <si>
    <t>S. no.</t>
  </si>
  <si>
    <t>Exchange rate inr to dollar</t>
  </si>
  <si>
    <t>Million</t>
  </si>
  <si>
    <t>Conversion factor (crore to million)</t>
  </si>
  <si>
    <t>Pricing of Coal</t>
  </si>
  <si>
    <t>Low interest rate loans for power plants</t>
  </si>
  <si>
    <t>Non-incurrence of costs due to non-compliance of mandate related to coal washing/beneficiation</t>
  </si>
  <si>
    <t>Compensation for land acquired for coal mining purposes</t>
  </si>
  <si>
    <t>Income Tax exemption for the generation of power</t>
  </si>
  <si>
    <t>Production</t>
  </si>
  <si>
    <t>Consumption</t>
  </si>
  <si>
    <t>TD.1</t>
  </si>
  <si>
    <t>TD.2</t>
  </si>
  <si>
    <t>TD.3</t>
  </si>
  <si>
    <t>TD.4</t>
  </si>
  <si>
    <t>TD.5</t>
  </si>
  <si>
    <t>TD.6</t>
  </si>
  <si>
    <t>TD.7</t>
  </si>
  <si>
    <t>TD.8</t>
  </si>
  <si>
    <t>TD.9</t>
  </si>
  <si>
    <t>TD.10</t>
  </si>
  <si>
    <t>TD.11</t>
  </si>
  <si>
    <t>TD.12</t>
  </si>
  <si>
    <t>TD.13</t>
  </si>
  <si>
    <t>TD.14</t>
  </si>
  <si>
    <t>TD.15</t>
  </si>
  <si>
    <t>TD.16</t>
  </si>
  <si>
    <t>TD.17</t>
  </si>
  <si>
    <t>TD.18</t>
  </si>
  <si>
    <t>TD.19</t>
  </si>
  <si>
    <t>TD.20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</si>
  <si>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</si>
  <si>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</si>
  <si>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</si>
  <si>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</si>
  <si>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</si>
  <si>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</si>
  <si>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</si>
  <si>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</si>
  <si>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</si>
  <si>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</si>
  <si>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</si>
  <si>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</si>
  <si>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</si>
  <si>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</si>
  <si>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</si>
  <si>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</si>
  <si>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</si>
  <si>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</si>
  <si>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</si>
  <si>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Direct and indirect transfer of funds and liabilities</t>
  </si>
  <si>
    <t>Provision of goods and services below market value</t>
  </si>
  <si>
    <t>OG.1</t>
  </si>
  <si>
    <t>OG.2</t>
  </si>
  <si>
    <t>OG.3</t>
  </si>
  <si>
    <t>OG.4</t>
  </si>
  <si>
    <t>OG.5</t>
  </si>
  <si>
    <t>OG.6</t>
  </si>
  <si>
    <t>OG.7</t>
  </si>
  <si>
    <t>OG.8</t>
  </si>
  <si>
    <t>OG.9</t>
  </si>
  <si>
    <t>OG.10</t>
  </si>
  <si>
    <t>OG.11</t>
  </si>
  <si>
    <t>OG.12</t>
  </si>
  <si>
    <t>OG.13</t>
  </si>
  <si>
    <t>OG.14</t>
  </si>
  <si>
    <t>OG.15</t>
  </si>
  <si>
    <t>OG.16</t>
  </si>
  <si>
    <t>OG.17</t>
  </si>
  <si>
    <t>OG.18</t>
  </si>
  <si>
    <t>OG.19</t>
  </si>
  <si>
    <t>OG.20</t>
  </si>
  <si>
    <t>OG.21</t>
  </si>
  <si>
    <t>OG.22</t>
  </si>
  <si>
    <t>OG.23</t>
  </si>
  <si>
    <t>OG.24</t>
  </si>
  <si>
    <t>OG.25</t>
  </si>
  <si>
    <t>OG.26</t>
  </si>
  <si>
    <t>OG.27</t>
  </si>
  <si>
    <t>OG.28</t>
  </si>
  <si>
    <t>OG.29</t>
  </si>
  <si>
    <t>OG.30</t>
  </si>
  <si>
    <t>OG.31</t>
  </si>
  <si>
    <t>OG.32</t>
  </si>
  <si>
    <t>OG.33</t>
  </si>
  <si>
    <t>OG.34</t>
  </si>
  <si>
    <t>OG.35</t>
  </si>
  <si>
    <t>OG.36</t>
  </si>
  <si>
    <t>OG.37</t>
  </si>
  <si>
    <t>RE.1</t>
  </si>
  <si>
    <t>RE.3</t>
  </si>
  <si>
    <t>RE.2</t>
  </si>
  <si>
    <t>RE.7</t>
  </si>
  <si>
    <t>RE.4</t>
  </si>
  <si>
    <t>RE.5</t>
  </si>
  <si>
    <t>RE.6</t>
  </si>
  <si>
    <t>RE.8</t>
  </si>
  <si>
    <t>RE.9</t>
  </si>
  <si>
    <t>RE.10</t>
  </si>
  <si>
    <t>RE.11</t>
  </si>
  <si>
    <t>RE.12</t>
  </si>
  <si>
    <t>RE.13</t>
  </si>
  <si>
    <t>RE.14</t>
  </si>
  <si>
    <t>RE.15</t>
  </si>
  <si>
    <t>RE.16</t>
  </si>
  <si>
    <t>RE.17</t>
  </si>
  <si>
    <t>RE.18</t>
  </si>
  <si>
    <t>RE.19</t>
  </si>
  <si>
    <t>RE.20</t>
  </si>
  <si>
    <t>RE.21</t>
  </si>
  <si>
    <t>RE.22</t>
  </si>
  <si>
    <t>RE.23</t>
  </si>
  <si>
    <t>RE.24</t>
  </si>
  <si>
    <t>RE.25</t>
  </si>
  <si>
    <t>RE.26</t>
  </si>
  <si>
    <t>RE.27</t>
  </si>
  <si>
    <t>RE.28</t>
  </si>
  <si>
    <t>Notes</t>
  </si>
  <si>
    <t>Oil and Gas: Notes</t>
  </si>
  <si>
    <t xml:space="preserve"> Accelerated Depreciation on specified assets for mineral oil exploration</t>
  </si>
  <si>
    <t>OG.38</t>
  </si>
  <si>
    <t>OG.39</t>
  </si>
  <si>
    <t>Anila Bhagya</t>
  </si>
  <si>
    <t>Development, extraction and preparation</t>
  </si>
  <si>
    <t>Exploration, access and appraisal</t>
  </si>
  <si>
    <t>Power plant</t>
  </si>
  <si>
    <t>Decommissioning and rehabilitation</t>
  </si>
  <si>
    <t>Renewables</t>
  </si>
  <si>
    <t>Direct spending</t>
  </si>
  <si>
    <t>Government ownership of energy-related enterprises</t>
  </si>
  <si>
    <t>Credit support</t>
  </si>
  <si>
    <t>Insurance and indemnification</t>
  </si>
  <si>
    <t>Occupational health and accidents</t>
  </si>
  <si>
    <t>Environmental costs</t>
  </si>
  <si>
    <t>Tax breaks and special taxes</t>
  </si>
  <si>
    <t>Government-owned energy minerals</t>
  </si>
  <si>
    <t>Government-owned natural resources or land</t>
  </si>
  <si>
    <t>Government-owned infrastructure</t>
  </si>
  <si>
    <t>Government-provided goods or services</t>
  </si>
  <si>
    <t>ENERGY SUBSIDIES: INDIA</t>
  </si>
  <si>
    <t>Oil and Gas</t>
  </si>
  <si>
    <t>The authors welcome feedback on the full report and on this data sheet to improve the accuracy and transparency of information on energy subsidies in India.</t>
  </si>
  <si>
    <t>Market price support and regulation</t>
  </si>
  <si>
    <t>Production and Consumption</t>
  </si>
  <si>
    <t>Grids</t>
  </si>
  <si>
    <t>Consumers</t>
  </si>
  <si>
    <t xml:space="preserve">Consumers </t>
  </si>
  <si>
    <t>Grids (Various consumers indirectly)</t>
  </si>
  <si>
    <t>Consumers (Various consumers directly)</t>
  </si>
  <si>
    <t>Electricity Sector BailOut (Central &amp; State Government Support) (in INR Crore)</t>
  </si>
  <si>
    <t>Storage &amp; Transport</t>
  </si>
  <si>
    <t>Research</t>
  </si>
  <si>
    <t>Environment &amp; Social Rehabitlation</t>
  </si>
  <si>
    <t>Employees</t>
  </si>
  <si>
    <t xml:space="preserve">Power plant </t>
  </si>
  <si>
    <t xml:space="preserve">Storage &amp; Transport </t>
  </si>
  <si>
    <t>RE Application</t>
  </si>
  <si>
    <t xml:space="preserve">Market Development and Promotion of Solar Concentrators Based Process Heat Applications </t>
  </si>
  <si>
    <t>FY14</t>
  </si>
  <si>
    <t>FY15</t>
  </si>
  <si>
    <t>FY16</t>
  </si>
  <si>
    <t>FY17</t>
  </si>
  <si>
    <t>Diesel Subsidy in Drought and Deficit Rainfall
Affected Areas</t>
  </si>
  <si>
    <t>Customs Duty Exemption on PDS Kerosene</t>
  </si>
  <si>
    <t>OMC Support for Extension of LPG connection to poor families under CSR Scheme@</t>
  </si>
  <si>
    <t xml:space="preserve">Customs Duty Exemption on Imported LPG use for Domestic Use </t>
  </si>
  <si>
    <t>Transport and Storage</t>
  </si>
  <si>
    <t>Sub-Categories under Subsidy Classification I</t>
  </si>
  <si>
    <t>Subsidy Classification II, based on stimulated activity</t>
  </si>
  <si>
    <t>Renewables (R )</t>
  </si>
  <si>
    <t>Coal (C )</t>
  </si>
  <si>
    <t>Electricity Sector Bailout (E )</t>
  </si>
  <si>
    <t>+</t>
  </si>
  <si>
    <t>Power plants</t>
  </si>
  <si>
    <t>Infrastructure and Equipment</t>
  </si>
  <si>
    <t>Environment and Social Rehabilitation</t>
  </si>
  <si>
    <t>Oil and Gas (OG)</t>
  </si>
  <si>
    <t>Transmissions and Distribution (TD)</t>
  </si>
  <si>
    <t>Subsidy Classification I, based on subsidy mechanism</t>
  </si>
  <si>
    <t>Subsidy Classification III, based on energy type and stimulated link in the value chain</t>
  </si>
  <si>
    <t>Cross-cutting through the value chain</t>
  </si>
  <si>
    <t>Average - 3 years</t>
  </si>
  <si>
    <t>Mechanism</t>
  </si>
  <si>
    <t>Beneficiary</t>
  </si>
  <si>
    <t>Link in value chain</t>
  </si>
  <si>
    <t>Cross-cutting through value chain</t>
  </si>
  <si>
    <t>Under-recovery of costs by distribution utilities for keeping below-market prices for certain categories of consumers</t>
  </si>
  <si>
    <t>Under-recovery of costs by Rajasthan distribution utilities for keeping below-market prices for certain categories of consumers</t>
  </si>
  <si>
    <t>State government support to the oil &amp; gas (in INR crore)</t>
  </si>
  <si>
    <t>Central Government Support to T&amp;D (in INR crore)</t>
  </si>
  <si>
    <t>Central Government Support to T&amp;D (in USD million)</t>
  </si>
  <si>
    <t>State Government Support to T&amp;D in state of Rajasthan (in INR crore)</t>
  </si>
  <si>
    <t>State Government Support to T&amp;D in state of Rajasthan (in USD million)</t>
  </si>
  <si>
    <t>Central Government Support to Coal (in INR crore)</t>
  </si>
  <si>
    <t>Central Government Support to Coal  (in USD million)</t>
  </si>
  <si>
    <t>State Government Support to Coal in state of Chhattisgarh (in INR crore)</t>
  </si>
  <si>
    <t>State Government Support to Coal in state of Chhattisgarh (in USD million)</t>
  </si>
  <si>
    <t>Central government support to the oil &amp; gas (in INR crore)</t>
  </si>
  <si>
    <t>Central government support to the oil &amp; gas (USD million)</t>
  </si>
  <si>
    <t>State government support to the oil &amp; gas (in USD million)</t>
  </si>
  <si>
    <t>This data sheet presents an overview of subsidies provided to select energy type in India:</t>
  </si>
  <si>
    <t>Electricity Transmission and Distribution (T&amp;D)</t>
  </si>
  <si>
    <t>A summary of the methodology of the approach is presented in Section 3 (Methodology) of the report.</t>
  </si>
  <si>
    <t>For sources for all subsidies estimates, see Annex 1 (to come) and References of the full report</t>
  </si>
  <si>
    <r>
      <t xml:space="preserve">This data sheet provides background information for the report </t>
    </r>
    <r>
      <rPr>
        <b/>
        <i/>
        <sz val="10"/>
        <rFont val="Calibri"/>
        <family val="2"/>
        <scheme val="minor"/>
      </rPr>
      <t>India's Energy Transition: Mapping subsidies to fossil fuels and clean energy in India</t>
    </r>
  </si>
  <si>
    <t>Read the full report: http://www.iisd.org/sites/default/files/publications/india-energy-transition.pdf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</si>
</sst>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m/d/yyyy;;"/>
    <numFmt numFmtId="168" formatCode="#.00;\-#.00;0.00"/>
    <numFmt numFmtId="169" formatCode="#.00%;\-#.00%;0.00%;&quot;%&quot;"/>
    <numFmt numFmtId="170" formatCode="#;;"/>
    <numFmt numFmtId="171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6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Alignment="0">
      <alignment horizontal="left"/>
    </xf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>
      <alignment horizontal="right"/>
    </xf>
    <xf numFmtId="168" fontId="1" fillId="0" borderId="0">
      <alignment horizontal="right"/>
    </xf>
    <xf numFmtId="169" fontId="1" fillId="0" borderId="0">
      <alignment horizontal="right"/>
    </xf>
    <xf numFmtId="168" fontId="1" fillId="0" borderId="0">
      <alignment horizontal="righ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70" fontId="1" fillId="0" borderId="0">
      <alignment horizontal="right"/>
    </xf>
    <xf numFmtId="0" fontId="3" fillId="0" borderId="0"/>
    <xf numFmtId="0" fontId="1" fillId="0" borderId="0"/>
    <xf numFmtId="0" fontId="18" fillId="0" borderId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8">
    <xf numFmtId="0" fontId="0" fillId="0" borderId="0" xfId="0"/>
    <xf numFmtId="166" fontId="6" fillId="0" borderId="0" xfId="4" applyNumberFormat="1" applyFont="1" applyAlignment="1"/>
    <xf numFmtId="166" fontId="8" fillId="0" borderId="1" xfId="4" applyNumberFormat="1" applyFont="1" applyBorder="1" applyAlignment="1">
      <alignment horizontal="center" vertical="center"/>
    </xf>
    <xf numFmtId="1" fontId="6" fillId="0" borderId="0" xfId="4" applyNumberFormat="1" applyFont="1" applyAlignment="1"/>
    <xf numFmtId="1" fontId="5" fillId="0" borderId="0" xfId="4" applyNumberFormat="1" applyFont="1" applyAlignment="1"/>
    <xf numFmtId="166" fontId="5" fillId="0" borderId="0" xfId="4" applyNumberFormat="1" applyFont="1" applyAlignment="1"/>
    <xf numFmtId="166" fontId="8" fillId="0" borderId="1" xfId="4" applyNumberFormat="1" applyFont="1" applyBorder="1" applyAlignment="1">
      <alignment horizontal="left" vertical="center"/>
    </xf>
    <xf numFmtId="166" fontId="8" fillId="0" borderId="1" xfId="4" applyNumberFormat="1" applyFont="1" applyFill="1" applyBorder="1" applyAlignment="1">
      <alignment horizontal="left" vertical="center"/>
    </xf>
    <xf numFmtId="1" fontId="5" fillId="0" borderId="0" xfId="4" applyNumberFormat="1" applyFont="1" applyAlignment="1">
      <alignment horizontal="center"/>
    </xf>
    <xf numFmtId="1" fontId="5" fillId="0" borderId="0" xfId="4" applyNumberFormat="1" applyFont="1" applyAlignment="1">
      <alignment horizontal="left"/>
    </xf>
    <xf numFmtId="166" fontId="8" fillId="0" borderId="1" xfId="4" applyNumberFormat="1" applyFont="1" applyFill="1" applyBorder="1" applyAlignment="1">
      <alignment horizontal="center" vertical="center"/>
    </xf>
    <xf numFmtId="166" fontId="6" fillId="0" borderId="0" xfId="4" applyNumberFormat="1" applyFont="1" applyFill="1" applyAlignment="1"/>
    <xf numFmtId="166" fontId="6" fillId="0" borderId="1" xfId="4" applyNumberFormat="1" applyFont="1" applyFill="1" applyBorder="1" applyAlignment="1">
      <alignment horizontal="left" vertical="center"/>
    </xf>
    <xf numFmtId="166" fontId="6" fillId="0" borderId="0" xfId="2" applyNumberFormat="1" applyFont="1" applyAlignment="1"/>
    <xf numFmtId="166" fontId="6" fillId="3" borderId="0" xfId="0" applyNumberFormat="1" applyFont="1" applyFill="1" applyAlignment="1"/>
    <xf numFmtId="166" fontId="5" fillId="3" borderId="0" xfId="0" applyNumberFormat="1" applyFont="1" applyFill="1" applyAlignment="1"/>
    <xf numFmtId="166" fontId="6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166" fontId="11" fillId="3" borderId="0" xfId="0" applyNumberFormat="1" applyFont="1" applyFill="1" applyAlignment="1"/>
    <xf numFmtId="166" fontId="6" fillId="3" borderId="1" xfId="0" applyNumberFormat="1" applyFont="1" applyFill="1" applyBorder="1" applyAlignment="1"/>
    <xf numFmtId="166" fontId="6" fillId="3" borderId="1" xfId="1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6" fillId="3" borderId="0" xfId="2" applyNumberFormat="1" applyFont="1" applyFill="1" applyAlignment="1">
      <alignment horizontal="center"/>
    </xf>
    <xf numFmtId="166" fontId="5" fillId="3" borderId="0" xfId="2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left"/>
    </xf>
    <xf numFmtId="166" fontId="8" fillId="0" borderId="6" xfId="4" applyNumberFormat="1" applyFont="1" applyFill="1" applyBorder="1" applyAlignment="1">
      <alignment horizontal="center" vertical="center"/>
    </xf>
    <xf numFmtId="166" fontId="8" fillId="0" borderId="4" xfId="4" applyNumberFormat="1" applyFont="1" applyFill="1" applyBorder="1" applyAlignment="1">
      <alignment horizontal="center" vertical="center"/>
    </xf>
    <xf numFmtId="166" fontId="6" fillId="0" borderId="6" xfId="4" applyNumberFormat="1" applyFont="1" applyFill="1" applyBorder="1" applyAlignment="1">
      <alignment horizontal="left" vertical="center"/>
    </xf>
    <xf numFmtId="166" fontId="8" fillId="0" borderId="6" xfId="4" applyNumberFormat="1" applyFont="1" applyFill="1" applyBorder="1" applyAlignment="1">
      <alignment horizontal="left" vertical="center"/>
    </xf>
    <xf numFmtId="166" fontId="9" fillId="0" borderId="4" xfId="4" applyNumberFormat="1" applyFont="1" applyFill="1" applyBorder="1" applyAlignment="1">
      <alignment horizontal="center" vertical="center"/>
    </xf>
    <xf numFmtId="166" fontId="9" fillId="0" borderId="3" xfId="4" applyNumberFormat="1" applyFont="1" applyFill="1" applyBorder="1" applyAlignment="1">
      <alignment horizontal="center" vertical="center"/>
    </xf>
    <xf numFmtId="166" fontId="9" fillId="0" borderId="13" xfId="4" applyNumberFormat="1" applyFont="1" applyBorder="1" applyAlignment="1">
      <alignment horizontal="center" vertical="center"/>
    </xf>
    <xf numFmtId="166" fontId="9" fillId="0" borderId="15" xfId="4" applyNumberFormat="1" applyFont="1" applyBorder="1" applyAlignment="1">
      <alignment horizontal="center" vertical="center"/>
    </xf>
    <xf numFmtId="166" fontId="8" fillId="0" borderId="24" xfId="4" applyNumberFormat="1" applyFont="1" applyBorder="1" applyAlignment="1">
      <alignment horizontal="center" vertical="center"/>
    </xf>
    <xf numFmtId="166" fontId="9" fillId="0" borderId="25" xfId="4" applyNumberFormat="1" applyFont="1" applyBorder="1" applyAlignment="1">
      <alignment horizontal="center" vertical="center"/>
    </xf>
    <xf numFmtId="166" fontId="9" fillId="0" borderId="17" xfId="4" applyNumberFormat="1" applyFont="1" applyBorder="1" applyAlignment="1">
      <alignment horizontal="center" vertical="center"/>
    </xf>
    <xf numFmtId="166" fontId="9" fillId="0" borderId="16" xfId="4" applyNumberFormat="1" applyFont="1" applyBorder="1" applyAlignment="1">
      <alignment horizontal="center" vertical="center"/>
    </xf>
    <xf numFmtId="1" fontId="9" fillId="0" borderId="15" xfId="4" applyNumberFormat="1" applyFont="1" applyBorder="1" applyAlignment="1">
      <alignment horizontal="center" vertical="center"/>
    </xf>
    <xf numFmtId="166" fontId="8" fillId="0" borderId="12" xfId="4" applyNumberFormat="1" applyFont="1" applyBorder="1" applyAlignment="1">
      <alignment horizontal="center" vertical="center"/>
    </xf>
    <xf numFmtId="166" fontId="8" fillId="0" borderId="24" xfId="4" applyNumberFormat="1" applyFont="1" applyBorder="1" applyAlignment="1">
      <alignment horizontal="left" vertical="center"/>
    </xf>
    <xf numFmtId="166" fontId="8" fillId="0" borderId="12" xfId="4" applyNumberFormat="1" applyFont="1" applyBorder="1" applyAlignment="1">
      <alignment horizontal="left" vertical="center"/>
    </xf>
    <xf numFmtId="1" fontId="5" fillId="0" borderId="4" xfId="4" applyNumberFormat="1" applyFont="1" applyBorder="1" applyAlignment="1">
      <alignment horizontal="center" vertical="center"/>
    </xf>
    <xf numFmtId="166" fontId="8" fillId="0" borderId="10" xfId="4" applyNumberFormat="1" applyFont="1" applyBorder="1" applyAlignment="1">
      <alignment horizontal="left" vertical="center"/>
    </xf>
    <xf numFmtId="166" fontId="8" fillId="0" borderId="9" xfId="4" applyNumberFormat="1" applyFont="1" applyBorder="1" applyAlignment="1">
      <alignment horizontal="center" vertical="center"/>
    </xf>
    <xf numFmtId="166" fontId="8" fillId="0" borderId="11" xfId="4" applyNumberFormat="1" applyFont="1" applyBorder="1" applyAlignment="1">
      <alignment horizontal="center" vertical="center"/>
    </xf>
    <xf numFmtId="166" fontId="8" fillId="0" borderId="5" xfId="4" applyNumberFormat="1" applyFont="1" applyBorder="1" applyAlignment="1">
      <alignment horizontal="center" vertical="center"/>
    </xf>
    <xf numFmtId="166" fontId="7" fillId="2" borderId="19" xfId="4" applyNumberFormat="1" applyFont="1" applyFill="1" applyBorder="1" applyAlignment="1">
      <alignment horizontal="center" vertical="center"/>
    </xf>
    <xf numFmtId="166" fontId="7" fillId="2" borderId="21" xfId="4" applyNumberFormat="1" applyFont="1" applyFill="1" applyBorder="1" applyAlignment="1">
      <alignment horizontal="center" vertical="center"/>
    </xf>
    <xf numFmtId="166" fontId="7" fillId="2" borderId="20" xfId="4" applyNumberFormat="1" applyFont="1" applyFill="1" applyBorder="1" applyAlignment="1">
      <alignment horizontal="center" vertical="center"/>
    </xf>
    <xf numFmtId="1" fontId="7" fillId="2" borderId="19" xfId="4" applyNumberFormat="1" applyFont="1" applyFill="1" applyBorder="1" applyAlignment="1">
      <alignment horizontal="center" vertical="center"/>
    </xf>
    <xf numFmtId="166" fontId="9" fillId="0" borderId="4" xfId="4" applyNumberFormat="1" applyFont="1" applyBorder="1" applyAlignment="1">
      <alignment horizontal="center" vertical="center"/>
    </xf>
    <xf numFmtId="166" fontId="8" fillId="0" borderId="6" xfId="4" applyNumberFormat="1" applyFont="1" applyBorder="1" applyAlignment="1">
      <alignment horizontal="center" vertical="center"/>
    </xf>
    <xf numFmtId="166" fontId="8" fillId="0" borderId="4" xfId="4" applyNumberFormat="1" applyFont="1" applyBorder="1" applyAlignment="1">
      <alignment horizontal="center" vertical="center"/>
    </xf>
    <xf numFmtId="166" fontId="7" fillId="2" borderId="5" xfId="4" applyNumberFormat="1" applyFont="1" applyFill="1" applyBorder="1" applyAlignment="1">
      <alignment horizontal="center" vertical="center"/>
    </xf>
    <xf numFmtId="166" fontId="8" fillId="0" borderId="6" xfId="4" applyNumberFormat="1" applyFont="1" applyBorder="1" applyAlignment="1">
      <alignment horizontal="left" vertical="center"/>
    </xf>
    <xf numFmtId="1" fontId="9" fillId="0" borderId="4" xfId="4" applyNumberFormat="1" applyFont="1" applyBorder="1" applyAlignment="1">
      <alignment horizontal="center" vertical="center"/>
    </xf>
    <xf numFmtId="166" fontId="7" fillId="2" borderId="9" xfId="4" applyNumberFormat="1" applyFont="1" applyFill="1" applyBorder="1" applyAlignment="1">
      <alignment horizontal="center" vertical="center"/>
    </xf>
    <xf numFmtId="166" fontId="7" fillId="2" borderId="11" xfId="4" applyNumberFormat="1" applyFont="1" applyFill="1" applyBorder="1" applyAlignment="1">
      <alignment horizontal="center" vertical="center"/>
    </xf>
    <xf numFmtId="166" fontId="9" fillId="0" borderId="3" xfId="4" applyNumberFormat="1" applyFont="1" applyBorder="1" applyAlignment="1">
      <alignment horizontal="center" vertical="center"/>
    </xf>
    <xf numFmtId="166" fontId="8" fillId="0" borderId="3" xfId="4" applyNumberFormat="1" applyFont="1" applyBorder="1" applyAlignment="1">
      <alignment horizontal="center" vertical="center"/>
    </xf>
    <xf numFmtId="166" fontId="5" fillId="3" borderId="0" xfId="4" applyNumberFormat="1" applyFont="1" applyFill="1" applyAlignment="1"/>
    <xf numFmtId="166" fontId="6" fillId="3" borderId="0" xfId="4" applyNumberFormat="1" applyFont="1" applyFill="1" applyAlignment="1"/>
    <xf numFmtId="166" fontId="5" fillId="0" borderId="0" xfId="4" applyNumberFormat="1" applyFont="1" applyAlignment="1">
      <alignment horizontal="justify" vertical="center"/>
    </xf>
    <xf numFmtId="166" fontId="6" fillId="0" borderId="0" xfId="6" applyNumberFormat="1" applyFont="1" applyAlignment="1"/>
    <xf numFmtId="166" fontId="9" fillId="0" borderId="6" xfId="4" applyNumberFormat="1" applyFont="1" applyFill="1" applyBorder="1" applyAlignment="1">
      <alignment horizontal="center" vertical="center"/>
    </xf>
    <xf numFmtId="166" fontId="8" fillId="0" borderId="11" xfId="4" applyNumberFormat="1" applyFont="1" applyFill="1" applyBorder="1" applyAlignment="1">
      <alignment horizontal="left" vertical="center"/>
    </xf>
    <xf numFmtId="166" fontId="9" fillId="0" borderId="5" xfId="4" applyNumberFormat="1" applyFont="1" applyFill="1" applyBorder="1" applyAlignment="1">
      <alignment horizontal="center" vertical="center"/>
    </xf>
    <xf numFmtId="166" fontId="8" fillId="0" borderId="5" xfId="4" applyNumberFormat="1" applyFont="1" applyFill="1" applyBorder="1" applyAlignment="1">
      <alignment horizontal="center" vertical="center"/>
    </xf>
    <xf numFmtId="166" fontId="8" fillId="0" borderId="11" xfId="4" applyNumberFormat="1" applyFont="1" applyFill="1" applyBorder="1" applyAlignment="1">
      <alignment horizontal="center" vertical="center"/>
    </xf>
    <xf numFmtId="166" fontId="8" fillId="0" borderId="9" xfId="4" applyNumberFormat="1" applyFont="1" applyFill="1" applyBorder="1" applyAlignment="1">
      <alignment horizontal="center" vertical="center"/>
    </xf>
    <xf numFmtId="166" fontId="7" fillId="2" borderId="27" xfId="4" applyNumberFormat="1" applyFont="1" applyFill="1" applyBorder="1" applyAlignment="1">
      <alignment horizontal="center" vertical="center"/>
    </xf>
    <xf numFmtId="166" fontId="8" fillId="0" borderId="15" xfId="4" applyNumberFormat="1" applyFont="1" applyBorder="1" applyAlignment="1">
      <alignment horizontal="center" vertical="center"/>
    </xf>
    <xf numFmtId="166" fontId="7" fillId="2" borderId="26" xfId="4" applyNumberFormat="1" applyFont="1" applyFill="1" applyBorder="1" applyAlignment="1">
      <alignment horizontal="center" vertical="center"/>
    </xf>
    <xf numFmtId="166" fontId="9" fillId="0" borderId="23" xfId="4" applyNumberFormat="1" applyFont="1" applyFill="1" applyBorder="1" applyAlignment="1">
      <alignment horizontal="center" vertical="center"/>
    </xf>
    <xf numFmtId="166" fontId="6" fillId="0" borderId="12" xfId="4" applyNumberFormat="1" applyFont="1" applyFill="1" applyBorder="1" applyAlignment="1">
      <alignment horizontal="left" vertical="center"/>
    </xf>
    <xf numFmtId="166" fontId="8" fillId="0" borderId="23" xfId="4" applyNumberFormat="1" applyFont="1" applyFill="1" applyBorder="1" applyAlignment="1">
      <alignment horizontal="center" vertical="center"/>
    </xf>
    <xf numFmtId="166" fontId="8" fillId="0" borderId="12" xfId="4" applyNumberFormat="1" applyFont="1" applyFill="1" applyBorder="1" applyAlignment="1">
      <alignment horizontal="center" vertical="center"/>
    </xf>
    <xf numFmtId="166" fontId="8" fillId="0" borderId="24" xfId="4" applyNumberFormat="1" applyFont="1" applyFill="1" applyBorder="1" applyAlignment="1">
      <alignment horizontal="center" vertical="center"/>
    </xf>
    <xf numFmtId="166" fontId="9" fillId="0" borderId="13" xfId="4" applyNumberFormat="1" applyFont="1" applyFill="1" applyBorder="1" applyAlignment="1">
      <alignment horizontal="center" vertical="center"/>
    </xf>
    <xf numFmtId="166" fontId="9" fillId="0" borderId="24" xfId="4" applyNumberFormat="1" applyFont="1" applyFill="1" applyBorder="1" applyAlignment="1">
      <alignment horizontal="center" vertical="center"/>
    </xf>
    <xf numFmtId="166" fontId="9" fillId="0" borderId="16" xfId="4" applyNumberFormat="1" applyFont="1" applyFill="1" applyBorder="1" applyAlignment="1">
      <alignment horizontal="center" vertical="center"/>
    </xf>
    <xf numFmtId="166" fontId="9" fillId="0" borderId="15" xfId="4" applyNumberFormat="1" applyFont="1" applyFill="1" applyBorder="1" applyAlignment="1">
      <alignment horizontal="center" vertical="center"/>
    </xf>
    <xf numFmtId="166" fontId="9" fillId="0" borderId="17" xfId="4" applyNumberFormat="1" applyFont="1" applyFill="1" applyBorder="1" applyAlignment="1">
      <alignment horizontal="center" vertical="center"/>
    </xf>
    <xf numFmtId="166" fontId="9" fillId="0" borderId="25" xfId="4" applyNumberFormat="1" applyFont="1" applyFill="1" applyBorder="1" applyAlignment="1">
      <alignment horizontal="center" vertical="center"/>
    </xf>
    <xf numFmtId="166" fontId="8" fillId="0" borderId="23" xfId="4" applyNumberFormat="1" applyFont="1" applyBorder="1" applyAlignment="1">
      <alignment horizontal="center" vertical="center"/>
    </xf>
    <xf numFmtId="166" fontId="6" fillId="0" borderId="12" xfId="4" applyNumberFormat="1" applyFont="1" applyBorder="1" applyAlignment="1">
      <alignment horizontal="left" vertical="center"/>
    </xf>
    <xf numFmtId="166" fontId="11" fillId="2" borderId="11" xfId="0" applyNumberFormat="1" applyFont="1" applyFill="1" applyBorder="1" applyAlignment="1">
      <alignment horizontal="center"/>
    </xf>
    <xf numFmtId="166" fontId="11" fillId="2" borderId="5" xfId="0" applyNumberFormat="1" applyFont="1" applyFill="1" applyBorder="1" applyAlignment="1">
      <alignment horizontal="center"/>
    </xf>
    <xf numFmtId="166" fontId="11" fillId="2" borderId="11" xfId="0" applyNumberFormat="1" applyFont="1" applyFill="1" applyBorder="1" applyAlignment="1"/>
    <xf numFmtId="166" fontId="11" fillId="2" borderId="26" xfId="0" applyNumberFormat="1" applyFont="1" applyFill="1" applyBorder="1" applyAlignment="1">
      <alignment horizontal="center"/>
    </xf>
    <xf numFmtId="166" fontId="11" fillId="2" borderId="9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3" borderId="6" xfId="1" applyNumberFormat="1" applyFont="1" applyFill="1" applyBorder="1" applyAlignment="1">
      <alignment horizontal="center"/>
    </xf>
    <xf numFmtId="166" fontId="10" fillId="0" borderId="4" xfId="4" applyNumberFormat="1" applyFont="1" applyBorder="1" applyAlignment="1">
      <alignment horizontal="center" vertical="center"/>
    </xf>
    <xf numFmtId="166" fontId="9" fillId="0" borderId="23" xfId="4" applyNumberFormat="1" applyFont="1" applyBorder="1" applyAlignment="1">
      <alignment horizontal="center" vertical="center"/>
    </xf>
    <xf numFmtId="166" fontId="5" fillId="0" borderId="16" xfId="4" applyNumberFormat="1" applyFont="1" applyBorder="1" applyAlignment="1">
      <alignment horizontal="center" vertical="center"/>
    </xf>
    <xf numFmtId="166" fontId="9" fillId="0" borderId="28" xfId="4" applyNumberFormat="1" applyFont="1" applyBorder="1" applyAlignment="1">
      <alignment horizontal="center" vertical="center"/>
    </xf>
    <xf numFmtId="166" fontId="8" fillId="0" borderId="14" xfId="4" applyNumberFormat="1" applyFont="1" applyBorder="1" applyAlignment="1">
      <alignment horizontal="left" vertical="center"/>
    </xf>
    <xf numFmtId="166" fontId="8" fillId="0" borderId="28" xfId="4" applyNumberFormat="1" applyFont="1" applyBorder="1" applyAlignment="1">
      <alignment horizontal="center" vertical="center"/>
    </xf>
    <xf numFmtId="166" fontId="8" fillId="0" borderId="14" xfId="4" applyNumberFormat="1" applyFont="1" applyBorder="1" applyAlignment="1">
      <alignment horizontal="center" vertical="center"/>
    </xf>
    <xf numFmtId="166" fontId="8" fillId="0" borderId="29" xfId="4" applyNumberFormat="1" applyFont="1" applyBorder="1" applyAlignment="1">
      <alignment horizontal="center" vertical="center"/>
    </xf>
    <xf numFmtId="166" fontId="9" fillId="0" borderId="18" xfId="4" applyNumberFormat="1" applyFont="1" applyBorder="1" applyAlignment="1">
      <alignment horizontal="center" vertical="center"/>
    </xf>
    <xf numFmtId="166" fontId="7" fillId="2" borderId="15" xfId="4" applyNumberFormat="1" applyFont="1" applyFill="1" applyBorder="1" applyAlignment="1">
      <alignment horizontal="center" vertical="center"/>
    </xf>
    <xf numFmtId="166" fontId="7" fillId="2" borderId="16" xfId="4" applyNumberFormat="1" applyFont="1" applyFill="1" applyBorder="1" applyAlignment="1">
      <alignment horizontal="center" vertical="center"/>
    </xf>
    <xf numFmtId="166" fontId="7" fillId="2" borderId="17" xfId="4" applyNumberFormat="1" applyFont="1" applyFill="1" applyBorder="1" applyAlignment="1">
      <alignment horizontal="center" vertical="center"/>
    </xf>
    <xf numFmtId="166" fontId="7" fillId="2" borderId="25" xfId="4" applyNumberFormat="1" applyFont="1" applyFill="1" applyBorder="1" applyAlignment="1">
      <alignment horizontal="center" vertical="center"/>
    </xf>
    <xf numFmtId="166" fontId="13" fillId="3" borderId="0" xfId="0" applyNumberFormat="1" applyFont="1" applyFill="1" applyAlignment="1"/>
    <xf numFmtId="165" fontId="6" fillId="3" borderId="0" xfId="4" applyNumberFormat="1" applyFont="1" applyFill="1" applyAlignment="1"/>
    <xf numFmtId="166" fontId="14" fillId="3" borderId="0" xfId="0" applyNumberFormat="1" applyFont="1" applyFill="1" applyAlignment="1">
      <alignment horizontal="center"/>
    </xf>
    <xf numFmtId="166" fontId="6" fillId="3" borderId="1" xfId="4" applyNumberFormat="1" applyFont="1" applyFill="1" applyBorder="1" applyAlignment="1">
      <alignment horizontal="center"/>
    </xf>
    <xf numFmtId="165" fontId="6" fillId="3" borderId="1" xfId="4" applyNumberFormat="1" applyFont="1" applyFill="1" applyBorder="1" applyAlignment="1">
      <alignment horizontal="center"/>
    </xf>
    <xf numFmtId="1" fontId="6" fillId="3" borderId="0" xfId="4" applyNumberFormat="1" applyFont="1" applyFill="1" applyAlignment="1"/>
    <xf numFmtId="1" fontId="5" fillId="3" borderId="0" xfId="4" applyNumberFormat="1" applyFont="1" applyFill="1" applyAlignment="1">
      <alignment horizontal="center"/>
    </xf>
    <xf numFmtId="0" fontId="0" fillId="3" borderId="0" xfId="0" applyFill="1"/>
    <xf numFmtId="0" fontId="6" fillId="3" borderId="0" xfId="0" applyFont="1" applyFill="1"/>
    <xf numFmtId="166" fontId="6" fillId="3" borderId="6" xfId="0" applyNumberFormat="1" applyFont="1" applyFill="1" applyBorder="1" applyAlignment="1">
      <alignment horizontal="center"/>
    </xf>
    <xf numFmtId="165" fontId="6" fillId="3" borderId="0" xfId="4" applyNumberFormat="1" applyFont="1" applyFill="1" applyBorder="1" applyAlignment="1">
      <alignment horizontal="center"/>
    </xf>
    <xf numFmtId="166" fontId="5" fillId="0" borderId="22" xfId="1" applyNumberFormat="1" applyFont="1" applyFill="1" applyBorder="1" applyAlignment="1">
      <alignment horizontal="center"/>
    </xf>
    <xf numFmtId="166" fontId="8" fillId="0" borderId="29" xfId="4" applyNumberFormat="1" applyFont="1" applyBorder="1" applyAlignment="1">
      <alignment horizontal="left" vertical="center"/>
    </xf>
    <xf numFmtId="166" fontId="5" fillId="0" borderId="17" xfId="4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/>
    <xf numFmtId="166" fontId="6" fillId="0" borderId="24" xfId="4" applyNumberFormat="1" applyFont="1" applyBorder="1" applyAlignment="1">
      <alignment horizontal="left" vertical="center"/>
    </xf>
    <xf numFmtId="166" fontId="6" fillId="0" borderId="24" xfId="4" applyNumberFormat="1" applyFont="1" applyFill="1" applyBorder="1" applyAlignment="1">
      <alignment horizontal="left" vertical="center"/>
    </xf>
    <xf numFmtId="166" fontId="6" fillId="0" borderId="20" xfId="4" applyNumberFormat="1" applyFont="1" applyBorder="1" applyAlignment="1">
      <alignment horizontal="left" vertical="center"/>
    </xf>
    <xf numFmtId="166" fontId="9" fillId="0" borderId="19" xfId="4" applyNumberFormat="1" applyFont="1" applyBorder="1" applyAlignment="1">
      <alignment horizontal="center" vertical="center"/>
    </xf>
    <xf numFmtId="166" fontId="8" fillId="0" borderId="19" xfId="4" applyNumberFormat="1" applyFont="1" applyBorder="1" applyAlignment="1">
      <alignment horizontal="center" vertical="center"/>
    </xf>
    <xf numFmtId="166" fontId="8" fillId="0" borderId="20" xfId="4" applyNumberFormat="1" applyFont="1" applyBorder="1" applyAlignment="1">
      <alignment horizontal="center" vertical="center"/>
    </xf>
    <xf numFmtId="166" fontId="8" fillId="0" borderId="21" xfId="4" applyNumberFormat="1" applyFont="1" applyBorder="1" applyAlignment="1">
      <alignment horizontal="center" vertical="center"/>
    </xf>
    <xf numFmtId="166" fontId="9" fillId="0" borderId="27" xfId="4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textRotation="90" wrapText="1"/>
    </xf>
    <xf numFmtId="0" fontId="0" fillId="3" borderId="1" xfId="0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textRotation="90" wrapText="1"/>
    </xf>
    <xf numFmtId="0" fontId="0" fillId="3" borderId="0" xfId="0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textRotation="90" wrapText="1"/>
    </xf>
    <xf numFmtId="0" fontId="0" fillId="3" borderId="30" xfId="0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21" fillId="3" borderId="0" xfId="125" applyFill="1" applyAlignment="1">
      <alignment wrapText="1"/>
    </xf>
    <xf numFmtId="166" fontId="9" fillId="0" borderId="22" xfId="4" applyNumberFormat="1" applyFont="1" applyBorder="1" applyAlignment="1">
      <alignment horizontal="center" vertical="center"/>
    </xf>
    <xf numFmtId="166" fontId="8" fillId="0" borderId="17" xfId="4" applyNumberFormat="1" applyFont="1" applyBorder="1" applyAlignment="1">
      <alignment horizontal="center" vertical="center"/>
    </xf>
    <xf numFmtId="166" fontId="8" fillId="0" borderId="8" xfId="4" applyNumberFormat="1" applyFont="1" applyFill="1" applyBorder="1" applyAlignment="1">
      <alignment horizontal="center" vertical="center"/>
    </xf>
    <xf numFmtId="166" fontId="8" fillId="0" borderId="10" xfId="4" applyNumberFormat="1" applyFont="1" applyFill="1" applyBorder="1" applyAlignment="1">
      <alignment horizontal="center" vertical="center"/>
    </xf>
    <xf numFmtId="166" fontId="8" fillId="0" borderId="16" xfId="4" applyNumberFormat="1" applyFont="1" applyBorder="1" applyAlignment="1">
      <alignment horizontal="center" vertical="center"/>
    </xf>
    <xf numFmtId="166" fontId="8" fillId="0" borderId="7" xfId="4" applyNumberFormat="1" applyFont="1" applyBorder="1" applyAlignment="1">
      <alignment horizontal="center" vertical="center"/>
    </xf>
    <xf numFmtId="166" fontId="8" fillId="0" borderId="8" xfId="4" applyNumberFormat="1" applyFont="1" applyBorder="1" applyAlignment="1">
      <alignment horizontal="center" vertical="center"/>
    </xf>
    <xf numFmtId="0" fontId="8" fillId="0" borderId="34" xfId="0" applyFont="1" applyBorder="1"/>
    <xf numFmtId="166" fontId="6" fillId="3" borderId="8" xfId="0" applyNumberFormat="1" applyFont="1" applyFill="1" applyBorder="1" applyAlignment="1"/>
    <xf numFmtId="166" fontId="9" fillId="0" borderId="35" xfId="4" applyNumberFormat="1" applyFont="1" applyBorder="1" applyAlignment="1">
      <alignment horizontal="center" vertical="center"/>
    </xf>
    <xf numFmtId="166" fontId="5" fillId="0" borderId="36" xfId="1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166" fontId="6" fillId="3" borderId="15" xfId="0" applyNumberFormat="1" applyFont="1" applyFill="1" applyBorder="1" applyAlignment="1">
      <alignment horizontal="center"/>
    </xf>
    <xf numFmtId="166" fontId="5" fillId="3" borderId="16" xfId="1" applyNumberFormat="1" applyFont="1" applyFill="1" applyBorder="1" applyAlignment="1"/>
    <xf numFmtId="166" fontId="5" fillId="3" borderId="37" xfId="1" applyNumberFormat="1" applyFont="1" applyFill="1" applyBorder="1" applyAlignment="1"/>
    <xf numFmtId="166" fontId="5" fillId="0" borderId="25" xfId="1" applyNumberFormat="1" applyFont="1" applyFill="1" applyBorder="1" applyAlignment="1">
      <alignment horizontal="center"/>
    </xf>
    <xf numFmtId="166" fontId="5" fillId="0" borderId="38" xfId="1" applyNumberFormat="1" applyFont="1" applyFill="1" applyBorder="1" applyAlignment="1">
      <alignment horizontal="center"/>
    </xf>
    <xf numFmtId="166" fontId="5" fillId="0" borderId="15" xfId="1" applyNumberFormat="1" applyFont="1" applyFill="1" applyBorder="1" applyAlignment="1">
      <alignment horizontal="center"/>
    </xf>
    <xf numFmtId="166" fontId="5" fillId="3" borderId="4" xfId="1" applyNumberFormat="1" applyFont="1" applyFill="1" applyBorder="1" applyAlignment="1">
      <alignment horizontal="center"/>
    </xf>
    <xf numFmtId="166" fontId="5" fillId="3" borderId="39" xfId="1" applyNumberFormat="1" applyFont="1" applyFill="1" applyBorder="1" applyAlignment="1">
      <alignment horizontal="center"/>
    </xf>
    <xf numFmtId="166" fontId="5" fillId="3" borderId="28" xfId="1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center"/>
    </xf>
    <xf numFmtId="166" fontId="8" fillId="0" borderId="3" xfId="4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5" fillId="3" borderId="17" xfId="1" applyNumberFormat="1" applyFont="1" applyFill="1" applyBorder="1" applyAlignment="1"/>
    <xf numFmtId="166" fontId="6" fillId="0" borderId="0" xfId="0" applyNumberFormat="1" applyFont="1" applyFill="1" applyAlignment="1"/>
    <xf numFmtId="166" fontId="6" fillId="0" borderId="24" xfId="0" applyNumberFormat="1" applyFont="1" applyFill="1" applyBorder="1" applyAlignment="1">
      <alignment horizontal="center"/>
    </xf>
    <xf numFmtId="166" fontId="6" fillId="3" borderId="6" xfId="0" applyNumberFormat="1" applyFont="1" applyFill="1" applyBorder="1" applyAlignment="1"/>
    <xf numFmtId="1" fontId="9" fillId="0" borderId="23" xfId="4" applyNumberFormat="1" applyFont="1" applyBorder="1" applyAlignment="1">
      <alignment horizontal="center" vertical="center"/>
    </xf>
    <xf numFmtId="166" fontId="8" fillId="0" borderId="22" xfId="4" applyNumberFormat="1" applyFont="1" applyFill="1" applyBorder="1" applyAlignment="1">
      <alignment horizontal="center" vertical="center"/>
    </xf>
    <xf numFmtId="166" fontId="8" fillId="0" borderId="26" xfId="4" applyNumberFormat="1" applyFont="1" applyBorder="1" applyAlignment="1">
      <alignment horizontal="center" vertical="center"/>
    </xf>
    <xf numFmtId="166" fontId="8" fillId="0" borderId="35" xfId="4" applyNumberFormat="1" applyFont="1" applyFill="1" applyBorder="1" applyAlignment="1">
      <alignment horizontal="center" vertical="center"/>
    </xf>
    <xf numFmtId="166" fontId="9" fillId="0" borderId="40" xfId="4" applyNumberFormat="1" applyFont="1" applyFill="1" applyBorder="1" applyAlignment="1">
      <alignment horizontal="center" vertical="center"/>
    </xf>
    <xf numFmtId="166" fontId="9" fillId="0" borderId="43" xfId="4" applyNumberFormat="1" applyFont="1" applyFill="1" applyBorder="1" applyAlignment="1">
      <alignment horizontal="center" vertical="center"/>
    </xf>
    <xf numFmtId="166" fontId="9" fillId="0" borderId="7" xfId="4" applyNumberFormat="1" applyFont="1" applyFill="1" applyBorder="1" applyAlignment="1">
      <alignment horizontal="center" vertical="center"/>
    </xf>
    <xf numFmtId="166" fontId="8" fillId="0" borderId="8" xfId="4" applyNumberFormat="1" applyFont="1" applyFill="1" applyBorder="1" applyAlignment="1">
      <alignment horizontal="left" vertical="center"/>
    </xf>
    <xf numFmtId="166" fontId="8" fillId="0" borderId="10" xfId="4" applyNumberFormat="1" applyFont="1" applyFill="1" applyBorder="1" applyAlignment="1">
      <alignment horizontal="left" vertical="center"/>
    </xf>
    <xf numFmtId="166" fontId="5" fillId="0" borderId="7" xfId="0" applyNumberFormat="1" applyFont="1" applyFill="1" applyBorder="1" applyAlignment="1">
      <alignment horizontal="center"/>
    </xf>
    <xf numFmtId="166" fontId="6" fillId="0" borderId="8" xfId="0" applyNumberFormat="1" applyFont="1" applyFill="1" applyBorder="1" applyAlignment="1"/>
    <xf numFmtId="166" fontId="6" fillId="0" borderId="10" xfId="0" applyNumberFormat="1" applyFont="1" applyFill="1" applyBorder="1" applyAlignment="1"/>
    <xf numFmtId="166" fontId="6" fillId="3" borderId="10" xfId="0" applyNumberFormat="1" applyFont="1" applyFill="1" applyBorder="1" applyAlignment="1"/>
    <xf numFmtId="166" fontId="5" fillId="0" borderId="0" xfId="4" applyNumberFormat="1" applyFont="1" applyBorder="1" applyAlignment="1"/>
    <xf numFmtId="166" fontId="6" fillId="0" borderId="0" xfId="4" applyNumberFormat="1" applyFont="1" applyBorder="1" applyAlignment="1"/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/>
    </xf>
    <xf numFmtId="2" fontId="6" fillId="0" borderId="0" xfId="4" applyNumberFormat="1" applyFont="1" applyAlignment="1"/>
    <xf numFmtId="9" fontId="6" fillId="0" borderId="0" xfId="2" applyFont="1" applyAlignment="1"/>
    <xf numFmtId="9" fontId="6" fillId="3" borderId="0" xfId="2" applyFont="1" applyFill="1" applyAlignment="1">
      <alignment horizontal="center"/>
    </xf>
    <xf numFmtId="171" fontId="6" fillId="3" borderId="0" xfId="2" applyNumberFormat="1" applyFont="1" applyFill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9" fillId="0" borderId="4" xfId="4" applyNumberFormat="1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left" vertical="center"/>
    </xf>
    <xf numFmtId="1" fontId="8" fillId="0" borderId="41" xfId="4" applyNumberFormat="1" applyFont="1" applyFill="1" applyBorder="1" applyAlignment="1">
      <alignment horizontal="left" vertical="center"/>
    </xf>
    <xf numFmtId="166" fontId="8" fillId="0" borderId="4" xfId="5" applyNumberFormat="1" applyFont="1" applyFill="1" applyBorder="1" applyAlignment="1">
      <alignment vertical="center"/>
    </xf>
    <xf numFmtId="166" fontId="8" fillId="0" borderId="1" xfId="5" applyNumberFormat="1" applyFont="1" applyFill="1" applyBorder="1" applyAlignment="1">
      <alignment vertical="center"/>
    </xf>
    <xf numFmtId="1" fontId="9" fillId="0" borderId="23" xfId="4" applyNumberFormat="1" applyFont="1" applyFill="1" applyBorder="1" applyAlignment="1">
      <alignment horizontal="center" vertical="center"/>
    </xf>
    <xf numFmtId="1" fontId="8" fillId="0" borderId="12" xfId="4" applyNumberFormat="1" applyFont="1" applyFill="1" applyBorder="1" applyAlignment="1">
      <alignment horizontal="left" vertical="center"/>
    </xf>
    <xf numFmtId="1" fontId="8" fillId="0" borderId="42" xfId="4" applyNumberFormat="1" applyFont="1" applyFill="1" applyBorder="1" applyAlignment="1">
      <alignment horizontal="left" vertical="center"/>
    </xf>
    <xf numFmtId="1" fontId="8" fillId="0" borderId="15" xfId="4" applyNumberFormat="1" applyFont="1" applyFill="1" applyBorder="1" applyAlignment="1">
      <alignment horizontal="center" vertical="center"/>
    </xf>
    <xf numFmtId="166" fontId="9" fillId="0" borderId="33" xfId="4" applyNumberFormat="1" applyFont="1" applyFill="1" applyBorder="1" applyAlignment="1">
      <alignment horizontal="center" vertical="center"/>
    </xf>
    <xf numFmtId="166" fontId="5" fillId="0" borderId="0" xfId="4" applyNumberFormat="1" applyFont="1" applyFill="1" applyAlignment="1"/>
    <xf numFmtId="1" fontId="6" fillId="0" borderId="0" xfId="4" applyNumberFormat="1" applyFont="1" applyFill="1" applyAlignment="1"/>
    <xf numFmtId="1" fontId="5" fillId="0" borderId="0" xfId="4" applyNumberFormat="1" applyFont="1" applyFill="1" applyAlignment="1"/>
    <xf numFmtId="166" fontId="8" fillId="0" borderId="1" xfId="0" applyNumberFormat="1" applyFont="1" applyFill="1" applyBorder="1" applyAlignment="1">
      <alignment horizontal="center" vertical="center"/>
    </xf>
    <xf numFmtId="166" fontId="5" fillId="3" borderId="12" xfId="0" applyNumberFormat="1" applyFont="1" applyFill="1" applyBorder="1" applyAlignment="1"/>
    <xf numFmtId="166" fontId="6" fillId="3" borderId="12" xfId="0" applyNumberFormat="1" applyFont="1" applyFill="1" applyBorder="1" applyAlignment="1"/>
    <xf numFmtId="1" fontId="5" fillId="0" borderId="23" xfId="4" applyNumberFormat="1" applyFont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166" fontId="8" fillId="0" borderId="12" xfId="4" applyNumberFormat="1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/>
    <xf numFmtId="166" fontId="6" fillId="0" borderId="6" xfId="0" applyNumberFormat="1" applyFont="1" applyFill="1" applyBorder="1" applyAlignment="1"/>
    <xf numFmtId="166" fontId="6" fillId="0" borderId="1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164" fontId="6" fillId="0" borderId="3" xfId="1" applyFont="1" applyFill="1" applyBorder="1"/>
    <xf numFmtId="164" fontId="6" fillId="0" borderId="1" xfId="1" applyFont="1" applyFill="1" applyBorder="1"/>
    <xf numFmtId="164" fontId="6" fillId="0" borderId="6" xfId="1" applyFont="1" applyFill="1" applyBorder="1"/>
    <xf numFmtId="166" fontId="8" fillId="0" borderId="1" xfId="0" applyNumberFormat="1" applyFont="1" applyFill="1" applyBorder="1" applyAlignment="1"/>
    <xf numFmtId="0" fontId="8" fillId="0" borderId="1" xfId="0" applyFont="1" applyFill="1" applyBorder="1"/>
    <xf numFmtId="166" fontId="6" fillId="0" borderId="1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6" fontId="8" fillId="0" borderId="13" xfId="4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horizontal="center" vertical="center"/>
    </xf>
    <xf numFmtId="166" fontId="8" fillId="0" borderId="24" xfId="4" applyNumberFormat="1" applyFont="1" applyFill="1" applyBorder="1" applyAlignment="1">
      <alignment horizontal="left" vertical="center"/>
    </xf>
    <xf numFmtId="166" fontId="7" fillId="0" borderId="20" xfId="4" applyNumberFormat="1" applyFont="1" applyFill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8" fillId="0" borderId="41" xfId="0" applyNumberFormat="1" applyFont="1" applyBorder="1" applyAlignment="1">
      <alignment horizontal="center" vertical="center"/>
    </xf>
    <xf numFmtId="1" fontId="9" fillId="0" borderId="44" xfId="4" applyNumberFormat="1" applyFont="1" applyBorder="1" applyAlignment="1">
      <alignment horizontal="center" vertical="center"/>
    </xf>
    <xf numFmtId="166" fontId="9" fillId="0" borderId="33" xfId="4" applyNumberFormat="1" applyFont="1" applyBorder="1" applyAlignment="1">
      <alignment horizontal="center" vertical="center"/>
    </xf>
    <xf numFmtId="1" fontId="9" fillId="0" borderId="16" xfId="4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/>
    </xf>
    <xf numFmtId="166" fontId="5" fillId="3" borderId="0" xfId="1" applyNumberFormat="1" applyFont="1" applyFill="1" applyBorder="1" applyAlignment="1"/>
    <xf numFmtId="166" fontId="6" fillId="0" borderId="0" xfId="0" applyNumberFormat="1" applyFont="1" applyFill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/>
    <xf numFmtId="166" fontId="6" fillId="3" borderId="0" xfId="0" applyNumberFormat="1" applyFont="1" applyFill="1" applyBorder="1" applyAlignment="1"/>
    <xf numFmtId="1" fontId="22" fillId="0" borderId="0" xfId="4" applyNumberFormat="1" applyFont="1" applyAlignment="1">
      <alignment horizontal="left"/>
    </xf>
    <xf numFmtId="0" fontId="23" fillId="4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24" fillId="3" borderId="0" xfId="125" applyFont="1" applyFill="1" applyAlignment="1">
      <alignment wrapText="1"/>
    </xf>
    <xf numFmtId="0" fontId="23" fillId="3" borderId="0" xfId="0" applyFont="1" applyFill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61">
    <cellStyle name="C05_Main text" xfId="3" xr:uid="{00000000-0005-0000-0000-000000000000}"/>
    <cellStyle name="Capacity" xfId="111" xr:uid="{00000000-0005-0000-0000-000001000000}"/>
    <cellStyle name="Comma" xfId="1" builtinId="3"/>
    <cellStyle name="Comma 2" xfId="5" xr:uid="{00000000-0005-0000-0000-000003000000}"/>
    <cellStyle name="Comma 2 2" xfId="109" xr:uid="{00000000-0005-0000-0000-000004000000}"/>
    <cellStyle name="Comma 3" xfId="108" xr:uid="{00000000-0005-0000-0000-000005000000}"/>
    <cellStyle name="County" xfId="119" xr:uid="{00000000-0005-0000-0000-000006000000}"/>
    <cellStyle name="Date" xfId="110" xr:uid="{00000000-0005-0000-0000-000007000000}"/>
    <cellStyle name="DRN" xfId="121" xr:uid="{00000000-0005-0000-0000-000008000000}"/>
    <cellStyle name="FlowDirection" xfId="120" xr:uid="{00000000-0005-0000-0000-000009000000}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Hyperlink" xfId="125" builtinId="8"/>
    <cellStyle name="LocationType" xfId="115" xr:uid="{00000000-0005-0000-0000-000093000000}"/>
    <cellStyle name="Normal" xfId="0" builtinId="0"/>
    <cellStyle name="Normal 2" xfId="4" xr:uid="{00000000-0005-0000-0000-000095000000}"/>
    <cellStyle name="Normal 2 2" xfId="122" xr:uid="{00000000-0005-0000-0000-000096000000}"/>
    <cellStyle name="Normal 3" xfId="124" xr:uid="{00000000-0005-0000-0000-000097000000}"/>
    <cellStyle name="Percent" xfId="2" builtinId="5"/>
    <cellStyle name="Percent 2" xfId="6" xr:uid="{00000000-0005-0000-0000-000099000000}"/>
    <cellStyle name="Pipeline" xfId="116" xr:uid="{00000000-0005-0000-0000-00009A000000}"/>
    <cellStyle name="PointName" xfId="114" xr:uid="{00000000-0005-0000-0000-00009B000000}"/>
    <cellStyle name="Region" xfId="117" xr:uid="{00000000-0005-0000-0000-00009C000000}"/>
    <cellStyle name="Standard 2" xfId="123" xr:uid="{00000000-0005-0000-0000-00009D000000}"/>
    <cellStyle name="State" xfId="118" xr:uid="{00000000-0005-0000-0000-00009E000000}"/>
    <cellStyle name="Utilization" xfId="112" xr:uid="{00000000-0005-0000-0000-00009F000000}"/>
    <cellStyle name="Volume" xfId="113" xr:uid="{00000000-0005-0000-0000-0000A0000000}"/>
  </cellStyles>
  <dxfs count="0"/>
  <tableStyles count="0" defaultTableStyle="TableStyleMedium2" defaultPivotStyle="PivotStyleLight16"/>
  <colors>
    <mruColors>
      <color rgb="FF00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isd.org/sites/default/files/publications/india-energy-transiti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topLeftCell="A7" workbookViewId="0">
      <selection activeCell="A20" sqref="A20"/>
    </sheetView>
  </sheetViews>
  <sheetFormatPr defaultColWidth="8.88671875" defaultRowHeight="13.8" x14ac:dyDescent="0.3"/>
  <cols>
    <col min="1" max="1" width="115.109375" style="253" customWidth="1"/>
    <col min="2" max="16384" width="8.88671875" style="253"/>
  </cols>
  <sheetData>
    <row r="1" spans="1:1" x14ac:dyDescent="0.3">
      <c r="A1" s="252" t="s">
        <v>267</v>
      </c>
    </row>
    <row r="3" spans="1:1" x14ac:dyDescent="0.3">
      <c r="A3" s="253" t="s">
        <v>328</v>
      </c>
    </row>
    <row r="4" spans="1:1" x14ac:dyDescent="0.3">
      <c r="A4" s="254" t="s">
        <v>329</v>
      </c>
    </row>
    <row r="5" spans="1:1" x14ac:dyDescent="0.3">
      <c r="A5" s="254" t="s">
        <v>0</v>
      </c>
    </row>
    <row r="6" spans="1:1" x14ac:dyDescent="0.3">
      <c r="A6" s="254" t="s">
        <v>268</v>
      </c>
    </row>
    <row r="7" spans="1:1" x14ac:dyDescent="0.3">
      <c r="A7" s="254" t="s">
        <v>255</v>
      </c>
    </row>
    <row r="9" spans="1:1" ht="27.6" x14ac:dyDescent="0.3">
      <c r="A9" s="255" t="s">
        <v>332</v>
      </c>
    </row>
    <row r="10" spans="1:1" x14ac:dyDescent="0.3">
      <c r="A10" s="253" t="s">
        <v>330</v>
      </c>
    </row>
    <row r="12" spans="1:1" ht="27.6" x14ac:dyDescent="0.3">
      <c r="A12" s="253" t="s">
        <v>269</v>
      </c>
    </row>
    <row r="14" spans="1:1" ht="14.4" x14ac:dyDescent="0.3">
      <c r="A14" s="142" t="s">
        <v>333</v>
      </c>
    </row>
    <row r="15" spans="1:1" x14ac:dyDescent="0.3">
      <c r="A15" s="251" t="s">
        <v>331</v>
      </c>
    </row>
  </sheetData>
  <hyperlinks>
    <hyperlink ref="A4" location="'T&amp;D'!A1" display="Transmission and Distribution" xr:uid="{00000000-0004-0000-0000-000000000000}"/>
    <hyperlink ref="A5" location="Coal!A1" display="Coal" xr:uid="{00000000-0004-0000-0000-000001000000}"/>
    <hyperlink ref="A6" location="'O&amp;G'!A1" display="Oil and Gas" xr:uid="{00000000-0004-0000-0000-000002000000}"/>
    <hyperlink ref="A7" location="Renewable!A1" display="Renewables" xr:uid="{00000000-0004-0000-0000-000003000000}"/>
    <hyperlink ref="A14" r:id="rId1" display="Read the full report: http://www.iisd.org/sites/default/files/publications/india-energy-transition-summary.pdf" xr:uid="{00000000-0004-0000-0000-000004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4"/>
  <sheetViews>
    <sheetView zoomScale="75" zoomScaleNormal="75" workbookViewId="0">
      <selection activeCell="D18" sqref="D18"/>
    </sheetView>
  </sheetViews>
  <sheetFormatPr defaultColWidth="8.6640625" defaultRowHeight="14.4" x14ac:dyDescent="0.3"/>
  <cols>
    <col min="1" max="1" width="6.44140625" style="133" customWidth="1"/>
    <col min="2" max="3" width="36.33203125" style="133" customWidth="1"/>
    <col min="4" max="4" width="28.88671875" style="138" customWidth="1"/>
    <col min="5" max="7" width="36.33203125" style="133" customWidth="1"/>
    <col min="8" max="16384" width="8.6640625" style="133"/>
  </cols>
  <sheetData>
    <row r="2" spans="1:7" s="129" customFormat="1" ht="57.75" customHeight="1" x14ac:dyDescent="0.3">
      <c r="B2" s="196" t="s">
        <v>306</v>
      </c>
      <c r="C2" s="196" t="s">
        <v>295</v>
      </c>
      <c r="D2" s="138"/>
      <c r="E2" s="197" t="s">
        <v>296</v>
      </c>
      <c r="F2" s="141"/>
    </row>
    <row r="3" spans="1:7" x14ac:dyDescent="0.3">
      <c r="A3" s="130"/>
      <c r="B3" s="256" t="s">
        <v>178</v>
      </c>
      <c r="C3" s="131" t="s">
        <v>256</v>
      </c>
      <c r="D3" s="140"/>
      <c r="E3" s="132" t="s">
        <v>137</v>
      </c>
      <c r="F3" s="141"/>
      <c r="G3" s="129"/>
    </row>
    <row r="4" spans="1:7" ht="28.8" x14ac:dyDescent="0.3">
      <c r="A4" s="130"/>
      <c r="B4" s="257"/>
      <c r="C4" s="131" t="s">
        <v>257</v>
      </c>
      <c r="D4" s="140"/>
      <c r="E4" s="188" t="s">
        <v>138</v>
      </c>
      <c r="F4" s="141"/>
      <c r="G4" s="129"/>
    </row>
    <row r="5" spans="1:7" x14ac:dyDescent="0.3">
      <c r="A5" s="130"/>
      <c r="B5" s="257"/>
      <c r="C5" s="131" t="s">
        <v>258</v>
      </c>
      <c r="D5" s="140"/>
      <c r="E5" s="189" t="s">
        <v>271</v>
      </c>
      <c r="F5" s="141"/>
      <c r="G5" s="129"/>
    </row>
    <row r="6" spans="1:7" x14ac:dyDescent="0.3">
      <c r="A6" s="130"/>
      <c r="B6" s="257"/>
      <c r="C6" s="131" t="s">
        <v>259</v>
      </c>
      <c r="D6" s="141"/>
      <c r="E6" s="134"/>
      <c r="G6" s="129"/>
    </row>
    <row r="7" spans="1:7" x14ac:dyDescent="0.3">
      <c r="A7" s="139"/>
      <c r="B7" s="257"/>
      <c r="C7" s="131" t="s">
        <v>260</v>
      </c>
      <c r="D7" s="141"/>
      <c r="E7" s="134"/>
      <c r="G7" s="129"/>
    </row>
    <row r="8" spans="1:7" x14ac:dyDescent="0.3">
      <c r="A8" s="139"/>
      <c r="B8" s="257"/>
      <c r="C8" s="131" t="s">
        <v>261</v>
      </c>
      <c r="E8" s="135"/>
      <c r="G8" s="129"/>
    </row>
    <row r="9" spans="1:7" x14ac:dyDescent="0.3">
      <c r="A9" s="139"/>
      <c r="B9" s="131" t="s">
        <v>25</v>
      </c>
      <c r="C9" s="131" t="s">
        <v>262</v>
      </c>
      <c r="E9" s="136"/>
      <c r="G9" s="129"/>
    </row>
    <row r="10" spans="1:7" x14ac:dyDescent="0.3">
      <c r="A10" s="130"/>
      <c r="B10" s="256" t="s">
        <v>35</v>
      </c>
      <c r="C10" s="131" t="s">
        <v>263</v>
      </c>
      <c r="E10" s="134"/>
      <c r="G10" s="129"/>
    </row>
    <row r="11" spans="1:7" ht="26.4" customHeight="1" x14ac:dyDescent="0.3">
      <c r="A11" s="130"/>
      <c r="B11" s="257"/>
      <c r="C11" s="131" t="s">
        <v>264</v>
      </c>
      <c r="E11" s="134"/>
      <c r="G11" s="129"/>
    </row>
    <row r="12" spans="1:7" ht="27" customHeight="1" x14ac:dyDescent="0.3">
      <c r="A12" s="130"/>
      <c r="B12" s="257"/>
      <c r="C12" s="131" t="s">
        <v>265</v>
      </c>
      <c r="E12" s="134"/>
      <c r="G12" s="129"/>
    </row>
    <row r="13" spans="1:7" x14ac:dyDescent="0.3">
      <c r="A13" s="130"/>
      <c r="B13" s="257"/>
      <c r="C13" s="131" t="s">
        <v>266</v>
      </c>
      <c r="E13" s="134"/>
      <c r="G13" s="129"/>
    </row>
    <row r="14" spans="1:7" x14ac:dyDescent="0.3">
      <c r="A14" s="130"/>
      <c r="B14" s="131" t="s">
        <v>37</v>
      </c>
      <c r="C14" s="131" t="s">
        <v>270</v>
      </c>
      <c r="E14" s="134"/>
      <c r="G14" s="129"/>
    </row>
    <row r="15" spans="1:7" x14ac:dyDescent="0.3">
      <c r="A15" s="130"/>
      <c r="B15" s="134"/>
      <c r="C15" s="134"/>
      <c r="E15" s="134"/>
      <c r="G15" s="129"/>
    </row>
    <row r="16" spans="1:7" x14ac:dyDescent="0.3">
      <c r="A16" s="130"/>
      <c r="B16" s="134"/>
      <c r="C16" s="134"/>
      <c r="E16" s="134"/>
      <c r="F16" s="134"/>
      <c r="G16" s="129"/>
    </row>
    <row r="17" spans="1:7" x14ac:dyDescent="0.3">
      <c r="A17" s="130"/>
      <c r="B17" s="134"/>
      <c r="C17" s="134"/>
      <c r="E17" s="135"/>
      <c r="F17" s="135"/>
    </row>
    <row r="18" spans="1:7" ht="48.9" customHeight="1" x14ac:dyDescent="0.3">
      <c r="A18" s="130"/>
      <c r="B18" s="196" t="s">
        <v>307</v>
      </c>
      <c r="C18" s="198" t="s">
        <v>305</v>
      </c>
      <c r="D18" s="198" t="s">
        <v>297</v>
      </c>
      <c r="E18" s="199" t="s">
        <v>299</v>
      </c>
      <c r="F18" s="198" t="s">
        <v>298</v>
      </c>
      <c r="G18" s="198" t="s">
        <v>304</v>
      </c>
    </row>
    <row r="19" spans="1:7" x14ac:dyDescent="0.3">
      <c r="A19" s="130"/>
      <c r="B19" s="195" t="s">
        <v>252</v>
      </c>
      <c r="C19" s="198" t="s">
        <v>22</v>
      </c>
      <c r="D19" s="198" t="s">
        <v>22</v>
      </c>
      <c r="E19" s="198" t="s">
        <v>22</v>
      </c>
      <c r="F19" s="198" t="s">
        <v>300</v>
      </c>
      <c r="G19" s="198" t="s">
        <v>300</v>
      </c>
    </row>
    <row r="20" spans="1:7" x14ac:dyDescent="0.3">
      <c r="A20" s="130"/>
      <c r="B20" s="195" t="s">
        <v>251</v>
      </c>
      <c r="C20" s="198" t="s">
        <v>22</v>
      </c>
      <c r="D20" s="198" t="s">
        <v>22</v>
      </c>
      <c r="E20" s="198" t="s">
        <v>22</v>
      </c>
      <c r="F20" s="198" t="s">
        <v>300</v>
      </c>
      <c r="G20" s="198" t="s">
        <v>300</v>
      </c>
    </row>
    <row r="21" spans="1:7" x14ac:dyDescent="0.3">
      <c r="A21" s="130"/>
      <c r="B21" s="195" t="s">
        <v>254</v>
      </c>
      <c r="C21" s="198" t="s">
        <v>22</v>
      </c>
      <c r="D21" s="198" t="s">
        <v>22</v>
      </c>
      <c r="E21" s="198" t="s">
        <v>22</v>
      </c>
      <c r="F21" s="198" t="s">
        <v>300</v>
      </c>
      <c r="G21" s="198" t="s">
        <v>300</v>
      </c>
    </row>
    <row r="22" spans="1:7" x14ac:dyDescent="0.3">
      <c r="A22" s="130"/>
      <c r="B22" s="195" t="s">
        <v>294</v>
      </c>
      <c r="C22" s="198" t="s">
        <v>22</v>
      </c>
      <c r="D22" s="198" t="s">
        <v>22</v>
      </c>
      <c r="E22" s="198" t="s">
        <v>22</v>
      </c>
      <c r="F22" s="198" t="s">
        <v>300</v>
      </c>
      <c r="G22" s="198" t="s">
        <v>300</v>
      </c>
    </row>
    <row r="23" spans="1:7" x14ac:dyDescent="0.3">
      <c r="A23" s="137"/>
      <c r="B23" s="195" t="s">
        <v>275</v>
      </c>
      <c r="C23" s="198" t="s">
        <v>300</v>
      </c>
      <c r="D23" s="198" t="s">
        <v>22</v>
      </c>
      <c r="E23" s="198" t="s">
        <v>22</v>
      </c>
      <c r="F23" s="198" t="s">
        <v>22</v>
      </c>
      <c r="G23" s="198" t="s">
        <v>22</v>
      </c>
    </row>
    <row r="24" spans="1:7" x14ac:dyDescent="0.3">
      <c r="A24" s="137"/>
      <c r="B24" s="195" t="s">
        <v>301</v>
      </c>
      <c r="C24" s="198" t="s">
        <v>22</v>
      </c>
      <c r="D24" s="198" t="s">
        <v>300</v>
      </c>
      <c r="E24" s="198" t="s">
        <v>22</v>
      </c>
      <c r="F24" s="198" t="s">
        <v>22</v>
      </c>
      <c r="G24" s="198" t="s">
        <v>22</v>
      </c>
    </row>
    <row r="25" spans="1:7" x14ac:dyDescent="0.3">
      <c r="A25" s="137"/>
      <c r="B25" s="195" t="s">
        <v>276</v>
      </c>
      <c r="C25" s="198" t="s">
        <v>300</v>
      </c>
      <c r="D25" s="198" t="s">
        <v>300</v>
      </c>
      <c r="E25" s="198" t="s">
        <v>300</v>
      </c>
      <c r="F25" s="198" t="s">
        <v>300</v>
      </c>
      <c r="G25" s="198" t="s">
        <v>300</v>
      </c>
    </row>
    <row r="26" spans="1:7" x14ac:dyDescent="0.3">
      <c r="A26" s="137"/>
      <c r="B26" s="195" t="s">
        <v>281</v>
      </c>
      <c r="C26" s="198" t="s">
        <v>300</v>
      </c>
      <c r="D26" s="198" t="s">
        <v>300</v>
      </c>
      <c r="E26" s="198" t="s">
        <v>22</v>
      </c>
      <c r="F26" s="198" t="s">
        <v>300</v>
      </c>
      <c r="G26" s="198" t="s">
        <v>300</v>
      </c>
    </row>
    <row r="27" spans="1:7" x14ac:dyDescent="0.3">
      <c r="A27" s="137"/>
      <c r="B27" s="195" t="s">
        <v>279</v>
      </c>
      <c r="C27" s="198" t="s">
        <v>300</v>
      </c>
      <c r="D27" s="198" t="s">
        <v>300</v>
      </c>
      <c r="E27" s="198" t="s">
        <v>22</v>
      </c>
      <c r="F27" s="198" t="s">
        <v>300</v>
      </c>
      <c r="G27" s="198" t="s">
        <v>300</v>
      </c>
    </row>
    <row r="28" spans="1:7" x14ac:dyDescent="0.3">
      <c r="A28" s="137"/>
      <c r="B28" s="195" t="s">
        <v>302</v>
      </c>
      <c r="C28" s="198" t="s">
        <v>22</v>
      </c>
      <c r="D28" s="198" t="s">
        <v>300</v>
      </c>
      <c r="E28" s="198" t="s">
        <v>22</v>
      </c>
      <c r="F28" s="198" t="s">
        <v>300</v>
      </c>
      <c r="G28" s="198" t="s">
        <v>300</v>
      </c>
    </row>
    <row r="29" spans="1:7" x14ac:dyDescent="0.3">
      <c r="A29" s="137"/>
      <c r="B29" s="195" t="s">
        <v>303</v>
      </c>
      <c r="C29" s="198" t="s">
        <v>22</v>
      </c>
      <c r="D29" s="198" t="s">
        <v>22</v>
      </c>
      <c r="E29" s="198" t="s">
        <v>22</v>
      </c>
      <c r="F29" s="198" t="s">
        <v>300</v>
      </c>
      <c r="G29" s="198" t="s">
        <v>300</v>
      </c>
    </row>
    <row r="30" spans="1:7" x14ac:dyDescent="0.3">
      <c r="A30" s="137"/>
      <c r="B30" s="195" t="s">
        <v>284</v>
      </c>
      <c r="C30" s="198" t="s">
        <v>22</v>
      </c>
      <c r="D30" s="198" t="s">
        <v>300</v>
      </c>
      <c r="E30" s="198" t="s">
        <v>22</v>
      </c>
      <c r="F30" s="198" t="s">
        <v>22</v>
      </c>
      <c r="G30" s="198" t="s">
        <v>22</v>
      </c>
    </row>
    <row r="31" spans="1:7" x14ac:dyDescent="0.3">
      <c r="A31" s="137"/>
      <c r="B31" s="195" t="s">
        <v>308</v>
      </c>
      <c r="C31" s="198" t="s">
        <v>300</v>
      </c>
      <c r="D31" s="198" t="s">
        <v>300</v>
      </c>
      <c r="E31" s="198" t="s">
        <v>22</v>
      </c>
      <c r="F31" s="198" t="s">
        <v>300</v>
      </c>
      <c r="G31" s="198" t="s">
        <v>300</v>
      </c>
    </row>
    <row r="32" spans="1:7" x14ac:dyDescent="0.3">
      <c r="A32" s="137"/>
    </row>
    <row r="33" spans="1:1" ht="38.25" customHeight="1" x14ac:dyDescent="0.3">
      <c r="A33" s="137"/>
    </row>
    <row r="34" spans="1:1" x14ac:dyDescent="0.3">
      <c r="A34" s="137"/>
    </row>
    <row r="35" spans="1:1" x14ac:dyDescent="0.3">
      <c r="A35" s="137"/>
    </row>
    <row r="36" spans="1:1" x14ac:dyDescent="0.3">
      <c r="A36" s="137"/>
    </row>
    <row r="37" spans="1:1" x14ac:dyDescent="0.3">
      <c r="A37" s="137"/>
    </row>
    <row r="38" spans="1:1" x14ac:dyDescent="0.3">
      <c r="A38" s="137"/>
    </row>
    <row r="39" spans="1:1" x14ac:dyDescent="0.3">
      <c r="A39" s="137"/>
    </row>
    <row r="40" spans="1:1" x14ac:dyDescent="0.3">
      <c r="A40" s="137"/>
    </row>
    <row r="41" spans="1:1" x14ac:dyDescent="0.3">
      <c r="A41" s="137"/>
    </row>
    <row r="42" spans="1:1" x14ac:dyDescent="0.3">
      <c r="A42" s="137"/>
    </row>
    <row r="43" spans="1:1" x14ac:dyDescent="0.3">
      <c r="A43" s="137"/>
    </row>
    <row r="44" spans="1:1" x14ac:dyDescent="0.3">
      <c r="A44" s="137"/>
    </row>
  </sheetData>
  <mergeCells count="2">
    <mergeCell ref="B3:B8"/>
    <mergeCell ref="B10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32"/>
  <sheetViews>
    <sheetView showGridLines="0" zoomScale="75" zoomScaleNormal="75" zoomScalePageLayoutView="70" workbookViewId="0">
      <selection activeCell="Q4" sqref="Q4"/>
    </sheetView>
  </sheetViews>
  <sheetFormatPr defaultColWidth="8.88671875" defaultRowHeight="13.2" x14ac:dyDescent="0.25"/>
  <cols>
    <col min="1" max="1" width="4.33203125" style="1" customWidth="1"/>
    <col min="2" max="2" width="7.33203125" style="8" customWidth="1"/>
    <col min="3" max="3" width="30.88671875" style="1" customWidth="1"/>
    <col min="4" max="6" width="10.33203125" style="1" customWidth="1"/>
    <col min="7" max="10" width="9.88671875" style="1" customWidth="1"/>
    <col min="11" max="11" width="9.88671875" style="5" customWidth="1"/>
    <col min="12" max="12" width="9.88671875" style="1" customWidth="1"/>
    <col min="13" max="13" width="4.88671875" style="1" customWidth="1"/>
    <col min="14" max="14" width="7.33203125" style="3" bestFit="1" customWidth="1"/>
    <col min="15" max="15" width="36.6640625" style="1" customWidth="1"/>
    <col min="16" max="18" width="10.33203125" style="1" customWidth="1"/>
    <col min="19" max="22" width="9.44140625" style="1" customWidth="1"/>
    <col min="23" max="23" width="9.44140625" style="5" customWidth="1"/>
    <col min="24" max="24" width="9.44140625" style="1" customWidth="1"/>
    <col min="25" max="16384" width="8.88671875" style="1"/>
  </cols>
  <sheetData>
    <row r="2" spans="2:25" ht="13.8" thickBot="1" x14ac:dyDescent="0.3">
      <c r="B2" s="9" t="s">
        <v>317</v>
      </c>
      <c r="N2" s="4" t="s">
        <v>318</v>
      </c>
    </row>
    <row r="3" spans="2:25" x14ac:dyDescent="0.25">
      <c r="B3" s="49" t="s">
        <v>2</v>
      </c>
      <c r="C3" s="48" t="s">
        <v>3</v>
      </c>
      <c r="D3" s="48" t="s">
        <v>310</v>
      </c>
      <c r="E3" s="48" t="s">
        <v>311</v>
      </c>
      <c r="F3" s="48" t="s">
        <v>312</v>
      </c>
      <c r="G3" s="46" t="s">
        <v>4</v>
      </c>
      <c r="H3" s="48" t="s">
        <v>5</v>
      </c>
      <c r="I3" s="48" t="s">
        <v>6</v>
      </c>
      <c r="J3" s="47" t="s">
        <v>7</v>
      </c>
      <c r="K3" s="46" t="s">
        <v>1</v>
      </c>
      <c r="L3" s="47" t="s">
        <v>309</v>
      </c>
      <c r="N3" s="49" t="s">
        <v>2</v>
      </c>
      <c r="O3" s="48" t="s">
        <v>3</v>
      </c>
      <c r="P3" s="48" t="s">
        <v>310</v>
      </c>
      <c r="Q3" s="48" t="s">
        <v>311</v>
      </c>
      <c r="R3" s="48" t="s">
        <v>312</v>
      </c>
      <c r="S3" s="70" t="s">
        <v>4</v>
      </c>
      <c r="T3" s="48" t="s">
        <v>5</v>
      </c>
      <c r="U3" s="48" t="s">
        <v>6</v>
      </c>
      <c r="V3" s="47" t="s">
        <v>7</v>
      </c>
      <c r="W3" s="70" t="s">
        <v>1</v>
      </c>
      <c r="X3" s="47" t="s">
        <v>309</v>
      </c>
    </row>
    <row r="4" spans="2:25" x14ac:dyDescent="0.25">
      <c r="B4" s="55" t="s">
        <v>139</v>
      </c>
      <c r="C4" s="6" t="s">
        <v>10</v>
      </c>
      <c r="D4" s="19" t="s">
        <v>178</v>
      </c>
      <c r="E4" s="19" t="s">
        <v>271</v>
      </c>
      <c r="F4" s="54" t="s">
        <v>272</v>
      </c>
      <c r="G4" s="26">
        <v>2594</v>
      </c>
      <c r="H4" s="10">
        <v>2414</v>
      </c>
      <c r="I4" s="10">
        <v>4500</v>
      </c>
      <c r="J4" s="25">
        <v>3350</v>
      </c>
      <c r="K4" s="29">
        <f t="shared" ref="K4:K13" si="0">SUM(G4:J4)</f>
        <v>12858</v>
      </c>
      <c r="L4" s="25">
        <f>AVERAGE(G4:I4)</f>
        <v>3169.3333333333335</v>
      </c>
      <c r="M4" s="11"/>
      <c r="N4" s="200" t="str">
        <f>B4</f>
        <v>TD.1</v>
      </c>
      <c r="O4" s="201" t="str">
        <f t="shared" ref="O4:O16" si="1">C4</f>
        <v>Deendayal Upadhyaya Gram Jyoti Yojana" (DDUGJY)</v>
      </c>
      <c r="P4" s="201" t="str">
        <f t="shared" ref="P4:P17" si="2">D4</f>
        <v>Direct and indirect transfer of funds and liabilities</v>
      </c>
      <c r="Q4" s="201" t="str">
        <f t="shared" ref="Q4:Q17" si="3">E4</f>
        <v>Production and Consumption</v>
      </c>
      <c r="R4" s="202" t="str">
        <f t="shared" ref="R4:R17" si="4">F4</f>
        <v>Grids</v>
      </c>
      <c r="S4" s="166">
        <f>G4*'Exchange Rates'!$F$4*10</f>
        <v>428.78719179267625</v>
      </c>
      <c r="T4" s="10">
        <f>H4*'Exchange Rates'!$G$4*10</f>
        <v>394.78568893700492</v>
      </c>
      <c r="U4" s="10">
        <f>I4*'Exchange Rates'!$H$4*10</f>
        <v>687.43116140730751</v>
      </c>
      <c r="V4" s="10">
        <f>J4*'Exchange Rates'!$I$4*10</f>
        <v>499.33223629295702</v>
      </c>
      <c r="W4" s="30">
        <f t="shared" ref="W4:W17" si="5">SUM(S4:V4)</f>
        <v>2010.3362784299457</v>
      </c>
      <c r="X4" s="25">
        <f>AVERAGE(S4:U4)</f>
        <v>503.66801404566286</v>
      </c>
      <c r="Y4" s="11"/>
    </row>
    <row r="5" spans="2:25" x14ac:dyDescent="0.25">
      <c r="B5" s="55" t="s">
        <v>140</v>
      </c>
      <c r="C5" s="6" t="s">
        <v>11</v>
      </c>
      <c r="D5" s="19" t="s">
        <v>178</v>
      </c>
      <c r="E5" s="19" t="s">
        <v>271</v>
      </c>
      <c r="F5" s="54" t="s">
        <v>272</v>
      </c>
      <c r="G5" s="26">
        <v>575</v>
      </c>
      <c r="H5" s="10">
        <v>1261</v>
      </c>
      <c r="I5" s="10">
        <v>1001.55</v>
      </c>
      <c r="J5" s="25">
        <v>4524.01</v>
      </c>
      <c r="K5" s="29">
        <f t="shared" si="0"/>
        <v>7361.56</v>
      </c>
      <c r="L5" s="25">
        <f t="shared" ref="L5:L13" si="6">AVERAGE(G5:I5)</f>
        <v>945.85</v>
      </c>
      <c r="M5" s="11"/>
      <c r="N5" s="200" t="str">
        <f t="shared" ref="N5:N17" si="7">B5</f>
        <v>TD.2</v>
      </c>
      <c r="O5" s="201" t="str">
        <f t="shared" si="1"/>
        <v>Integrated Power Development Scheme (IPDS)</v>
      </c>
      <c r="P5" s="201" t="str">
        <f t="shared" si="2"/>
        <v>Direct and indirect transfer of funds and liabilities</v>
      </c>
      <c r="Q5" s="201" t="str">
        <f t="shared" si="3"/>
        <v>Production and Consumption</v>
      </c>
      <c r="R5" s="202" t="str">
        <f t="shared" si="4"/>
        <v>Grids</v>
      </c>
      <c r="S5" s="166">
        <f>G5*'Exchange Rates'!$F$4*10</f>
        <v>95.047276515338808</v>
      </c>
      <c r="T5" s="10">
        <f>H5*'Exchange Rates'!$G$4*10</f>
        <v>206.22400735276022</v>
      </c>
      <c r="U5" s="10">
        <f>I5*'Exchange Rates'!$H$4*10</f>
        <v>152.99926215721973</v>
      </c>
      <c r="V5" s="10">
        <f>J5*'Exchange Rates'!$I$4*10</f>
        <v>674.32359113782115</v>
      </c>
      <c r="W5" s="30">
        <f t="shared" si="5"/>
        <v>1128.59413716314</v>
      </c>
      <c r="X5" s="25">
        <f t="shared" ref="X5:X13" si="8">AVERAGE(S5:U5)</f>
        <v>151.42351534177291</v>
      </c>
      <c r="Y5" s="11"/>
    </row>
    <row r="6" spans="2:25" x14ac:dyDescent="0.25">
      <c r="B6" s="55" t="s">
        <v>141</v>
      </c>
      <c r="C6" s="6" t="s">
        <v>12</v>
      </c>
      <c r="D6" s="19" t="s">
        <v>178</v>
      </c>
      <c r="E6" s="19" t="s">
        <v>271</v>
      </c>
      <c r="F6" s="54" t="s">
        <v>272</v>
      </c>
      <c r="G6" s="238" t="s">
        <v>27</v>
      </c>
      <c r="H6" s="239" t="s">
        <v>27</v>
      </c>
      <c r="I6" s="239" t="s">
        <v>27</v>
      </c>
      <c r="J6" s="240" t="s">
        <v>27</v>
      </c>
      <c r="K6" s="29">
        <f>SUM(G6:J6)</f>
        <v>0</v>
      </c>
      <c r="L6" s="64" t="s">
        <v>22</v>
      </c>
      <c r="M6" s="11"/>
      <c r="N6" s="200" t="str">
        <f t="shared" si="7"/>
        <v>TD.3</v>
      </c>
      <c r="O6" s="201" t="str">
        <f t="shared" si="1"/>
        <v xml:space="preserve">Subsidised loans from multilateral organisations </v>
      </c>
      <c r="P6" s="201" t="str">
        <f t="shared" si="2"/>
        <v>Direct and indirect transfer of funds and liabilities</v>
      </c>
      <c r="Q6" s="201" t="str">
        <f t="shared" si="3"/>
        <v>Production and Consumption</v>
      </c>
      <c r="R6" s="202" t="str">
        <f t="shared" si="4"/>
        <v>Grids</v>
      </c>
      <c r="S6" s="238" t="s">
        <v>27</v>
      </c>
      <c r="T6" s="239" t="s">
        <v>27</v>
      </c>
      <c r="U6" s="239" t="s">
        <v>27</v>
      </c>
      <c r="V6" s="240" t="s">
        <v>27</v>
      </c>
      <c r="W6" s="30">
        <f t="shared" si="5"/>
        <v>0</v>
      </c>
      <c r="X6" s="64" t="s">
        <v>22</v>
      </c>
      <c r="Y6" s="11"/>
    </row>
    <row r="7" spans="2:25" x14ac:dyDescent="0.25">
      <c r="B7" s="55" t="s">
        <v>142</v>
      </c>
      <c r="C7" s="7" t="s">
        <v>15</v>
      </c>
      <c r="D7" s="19" t="s">
        <v>178</v>
      </c>
      <c r="E7" s="19" t="s">
        <v>271</v>
      </c>
      <c r="F7" s="54" t="s">
        <v>272</v>
      </c>
      <c r="G7" s="26" t="s">
        <v>9</v>
      </c>
      <c r="H7" s="10">
        <v>1</v>
      </c>
      <c r="I7" s="10">
        <v>1150.74</v>
      </c>
      <c r="J7" s="25">
        <v>619.30999999999995</v>
      </c>
      <c r="K7" s="29">
        <f t="shared" si="0"/>
        <v>1771.05</v>
      </c>
      <c r="L7" s="25">
        <f t="shared" si="6"/>
        <v>575.87</v>
      </c>
      <c r="M7" s="11"/>
      <c r="N7" s="200" t="str">
        <f t="shared" si="7"/>
        <v>TD.4</v>
      </c>
      <c r="O7" s="201" t="str">
        <f t="shared" si="1"/>
        <v>Power System Development Fund (PSDF)</v>
      </c>
      <c r="P7" s="201" t="str">
        <f t="shared" si="2"/>
        <v>Direct and indirect transfer of funds and liabilities</v>
      </c>
      <c r="Q7" s="201" t="str">
        <f t="shared" si="3"/>
        <v>Production and Consumption</v>
      </c>
      <c r="R7" s="202" t="str">
        <f t="shared" si="4"/>
        <v>Grids</v>
      </c>
      <c r="S7" s="166" t="s">
        <v>9</v>
      </c>
      <c r="T7" s="10">
        <f>H7*'Exchange Rates'!$G$4*10</f>
        <v>0.163540053412181</v>
      </c>
      <c r="U7" s="10">
        <f>I7*'Exchange Rates'!$H$4*10</f>
        <v>175.78989659507667</v>
      </c>
      <c r="V7" s="10">
        <f>J7*'Exchange Rates'!$I$4*10</f>
        <v>92.310879778683926</v>
      </c>
      <c r="W7" s="30">
        <f t="shared" si="5"/>
        <v>268.26431642717279</v>
      </c>
      <c r="X7" s="25">
        <f t="shared" si="8"/>
        <v>87.97671832424443</v>
      </c>
      <c r="Y7" s="11"/>
    </row>
    <row r="8" spans="2:25" x14ac:dyDescent="0.25">
      <c r="B8" s="55" t="s">
        <v>143</v>
      </c>
      <c r="C8" s="7" t="s">
        <v>17</v>
      </c>
      <c r="D8" s="19" t="s">
        <v>178</v>
      </c>
      <c r="E8" s="19" t="s">
        <v>271</v>
      </c>
      <c r="F8" s="54" t="s">
        <v>272</v>
      </c>
      <c r="G8" s="26" t="s">
        <v>9</v>
      </c>
      <c r="H8" s="10">
        <v>150</v>
      </c>
      <c r="I8" s="10">
        <f>197.33+50</f>
        <v>247.33</v>
      </c>
      <c r="J8" s="25">
        <f>41+37</f>
        <v>78</v>
      </c>
      <c r="K8" s="29">
        <f t="shared" si="0"/>
        <v>475.33000000000004</v>
      </c>
      <c r="L8" s="25">
        <f t="shared" si="6"/>
        <v>198.66500000000002</v>
      </c>
      <c r="M8" s="11"/>
      <c r="N8" s="200" t="str">
        <f t="shared" si="7"/>
        <v>TD.5</v>
      </c>
      <c r="O8" s="201" t="str">
        <f t="shared" si="1"/>
        <v>Fund for Power System Improvement in North Eastern States excluding Arunachal Pradesh and Sikkim</v>
      </c>
      <c r="P8" s="201" t="str">
        <f t="shared" si="2"/>
        <v>Direct and indirect transfer of funds and liabilities</v>
      </c>
      <c r="Q8" s="201" t="str">
        <f t="shared" si="3"/>
        <v>Production and Consumption</v>
      </c>
      <c r="R8" s="202" t="str">
        <f t="shared" si="4"/>
        <v>Grids</v>
      </c>
      <c r="S8" s="166" t="s">
        <v>9</v>
      </c>
      <c r="T8" s="10">
        <f>H8*'Exchange Rates'!$G$4*10</f>
        <v>24.531008011827147</v>
      </c>
      <c r="U8" s="10">
        <f>I8*'Exchange Rates'!$H$4*10</f>
        <v>37.782744255748753</v>
      </c>
      <c r="V8" s="10">
        <f>J8*'Exchange Rates'!$I$4*10</f>
        <v>11.62624311368676</v>
      </c>
      <c r="W8" s="30">
        <f t="shared" si="5"/>
        <v>73.939995381262662</v>
      </c>
      <c r="X8" s="25">
        <f t="shared" si="8"/>
        <v>31.15687613378795</v>
      </c>
      <c r="Y8" s="11"/>
    </row>
    <row r="9" spans="2:25" x14ac:dyDescent="0.25">
      <c r="B9" s="55" t="s">
        <v>144</v>
      </c>
      <c r="C9" s="7" t="s">
        <v>18</v>
      </c>
      <c r="D9" s="19" t="s">
        <v>178</v>
      </c>
      <c r="E9" s="19" t="s">
        <v>271</v>
      </c>
      <c r="F9" s="54" t="s">
        <v>272</v>
      </c>
      <c r="G9" s="26" t="s">
        <v>9</v>
      </c>
      <c r="H9" s="10">
        <v>100</v>
      </c>
      <c r="I9" s="10">
        <v>150</v>
      </c>
      <c r="J9" s="25">
        <v>255.26</v>
      </c>
      <c r="K9" s="29">
        <f t="shared" si="0"/>
        <v>505.26</v>
      </c>
      <c r="L9" s="25">
        <f t="shared" si="6"/>
        <v>125</v>
      </c>
      <c r="M9" s="11"/>
      <c r="N9" s="200" t="str">
        <f t="shared" si="7"/>
        <v>TD.6</v>
      </c>
      <c r="O9" s="201" t="str">
        <f t="shared" si="1"/>
        <v>Fund for Strengthening of Transmission Systems in the States of Arunachal Pradesh and Sikkim</v>
      </c>
      <c r="P9" s="201" t="str">
        <f t="shared" si="2"/>
        <v>Direct and indirect transfer of funds and liabilities</v>
      </c>
      <c r="Q9" s="201" t="str">
        <f t="shared" si="3"/>
        <v>Production and Consumption</v>
      </c>
      <c r="R9" s="202" t="str">
        <f t="shared" si="4"/>
        <v>Grids</v>
      </c>
      <c r="S9" s="166" t="s">
        <v>9</v>
      </c>
      <c r="T9" s="10">
        <f>H9*'Exchange Rates'!$G$4*10</f>
        <v>16.354005341218102</v>
      </c>
      <c r="U9" s="10">
        <f>I9*'Exchange Rates'!$H$4*10</f>
        <v>22.914372046910252</v>
      </c>
      <c r="V9" s="10">
        <f>J9*'Exchange Rates'!$I$4*10</f>
        <v>38.047625861534385</v>
      </c>
      <c r="W9" s="30">
        <f t="shared" si="5"/>
        <v>77.316003249662742</v>
      </c>
      <c r="X9" s="25">
        <f t="shared" si="8"/>
        <v>19.634188694064179</v>
      </c>
      <c r="Y9" s="11"/>
    </row>
    <row r="10" spans="2:25" x14ac:dyDescent="0.25">
      <c r="B10" s="55" t="s">
        <v>145</v>
      </c>
      <c r="C10" s="7" t="s">
        <v>19</v>
      </c>
      <c r="D10" s="19" t="s">
        <v>178</v>
      </c>
      <c r="E10" s="6" t="s">
        <v>138</v>
      </c>
      <c r="F10" s="187" t="s">
        <v>274</v>
      </c>
      <c r="G10" s="26">
        <f>82</f>
        <v>82</v>
      </c>
      <c r="H10" s="10">
        <f>41</f>
        <v>41</v>
      </c>
      <c r="I10" s="10">
        <f>37+54.82</f>
        <v>91.82</v>
      </c>
      <c r="J10" s="25">
        <f>60.63+50.62</f>
        <v>111.25</v>
      </c>
      <c r="K10" s="29">
        <f t="shared" si="0"/>
        <v>326.07</v>
      </c>
      <c r="L10" s="25">
        <f t="shared" si="6"/>
        <v>71.606666666666669</v>
      </c>
      <c r="M10" s="11"/>
      <c r="N10" s="200" t="str">
        <f t="shared" si="7"/>
        <v>TD.7</v>
      </c>
      <c r="O10" s="201" t="str">
        <f t="shared" si="1"/>
        <v>Fund for Energy efficiency and energy conservation activities implemented through Bureau of Energy Efficiency (BEE)</v>
      </c>
      <c r="P10" s="201" t="str">
        <f t="shared" si="2"/>
        <v>Direct and indirect transfer of funds and liabilities</v>
      </c>
      <c r="Q10" s="201" t="str">
        <f t="shared" si="3"/>
        <v>Consumption</v>
      </c>
      <c r="R10" s="202" t="str">
        <f t="shared" si="4"/>
        <v xml:space="preserve">Consumers </v>
      </c>
      <c r="S10" s="166">
        <f>G10*'Exchange Rates'!$F$4*10</f>
        <v>13.55456812914397</v>
      </c>
      <c r="T10" s="10">
        <f>H10*'Exchange Rates'!$G$4*10</f>
        <v>6.705142189899421</v>
      </c>
      <c r="U10" s="10">
        <f>I10*'Exchange Rates'!$H$4*10</f>
        <v>14.026650942315326</v>
      </c>
      <c r="V10" s="10">
        <f>J10*'Exchange Rates'!$I$4*10</f>
        <v>16.582301876892977</v>
      </c>
      <c r="W10" s="30">
        <f t="shared" si="5"/>
        <v>50.868663138251698</v>
      </c>
      <c r="X10" s="25">
        <f t="shared" si="8"/>
        <v>11.428787087119574</v>
      </c>
      <c r="Y10" s="11"/>
    </row>
    <row r="11" spans="2:25" x14ac:dyDescent="0.25">
      <c r="B11" s="55" t="s">
        <v>146</v>
      </c>
      <c r="C11" s="7" t="s">
        <v>20</v>
      </c>
      <c r="D11" s="19" t="s">
        <v>178</v>
      </c>
      <c r="E11" s="19" t="s">
        <v>271</v>
      </c>
      <c r="F11" s="54" t="s">
        <v>279</v>
      </c>
      <c r="G11" s="26">
        <v>28</v>
      </c>
      <c r="H11" s="10">
        <v>95</v>
      </c>
      <c r="I11" s="10">
        <v>67</v>
      </c>
      <c r="J11" s="25">
        <v>106.19</v>
      </c>
      <c r="K11" s="29">
        <f t="shared" si="0"/>
        <v>296.19</v>
      </c>
      <c r="L11" s="25">
        <f t="shared" si="6"/>
        <v>63.333333333333336</v>
      </c>
      <c r="M11" s="11"/>
      <c r="N11" s="200" t="str">
        <f t="shared" si="7"/>
        <v>TD.8</v>
      </c>
      <c r="O11" s="201" t="str">
        <f t="shared" si="1"/>
        <v xml:space="preserve">Research and Training support by Ministry of Power </v>
      </c>
      <c r="P11" s="201" t="str">
        <f t="shared" si="2"/>
        <v>Direct and indirect transfer of funds and liabilities</v>
      </c>
      <c r="Q11" s="201" t="str">
        <f t="shared" si="3"/>
        <v>Production and Consumption</v>
      </c>
      <c r="R11" s="202" t="str">
        <f t="shared" si="4"/>
        <v>Research</v>
      </c>
      <c r="S11" s="166">
        <f>G11*'Exchange Rates'!$F$4*10</f>
        <v>4.6283891172686715</v>
      </c>
      <c r="T11" s="10">
        <f>H11*'Exchange Rates'!$G$4*10</f>
        <v>15.536305074157195</v>
      </c>
      <c r="U11" s="10">
        <f>I11*'Exchange Rates'!$H$4*10</f>
        <v>10.235086180953246</v>
      </c>
      <c r="V11" s="10">
        <f>J11*'Exchange Rates'!$I$4*10</f>
        <v>15.82808661849227</v>
      </c>
      <c r="W11" s="30">
        <f t="shared" si="5"/>
        <v>46.227866990871384</v>
      </c>
      <c r="X11" s="25">
        <f t="shared" si="8"/>
        <v>10.133260124126371</v>
      </c>
      <c r="Y11" s="11"/>
    </row>
    <row r="12" spans="2:25" x14ac:dyDescent="0.25">
      <c r="B12" s="55" t="s">
        <v>147</v>
      </c>
      <c r="C12" s="7" t="s">
        <v>21</v>
      </c>
      <c r="D12" s="19" t="s">
        <v>178</v>
      </c>
      <c r="E12" s="19" t="s">
        <v>271</v>
      </c>
      <c r="F12" s="54" t="s">
        <v>272</v>
      </c>
      <c r="G12" s="26" t="s">
        <v>22</v>
      </c>
      <c r="H12" s="10">
        <v>1</v>
      </c>
      <c r="I12" s="10">
        <v>7</v>
      </c>
      <c r="J12" s="25">
        <v>9</v>
      </c>
      <c r="K12" s="29">
        <f t="shared" si="0"/>
        <v>17</v>
      </c>
      <c r="L12" s="25">
        <f t="shared" si="6"/>
        <v>4</v>
      </c>
      <c r="M12" s="11"/>
      <c r="N12" s="200" t="str">
        <f t="shared" si="7"/>
        <v>TD.9</v>
      </c>
      <c r="O12" s="201" t="str">
        <f t="shared" si="1"/>
        <v>National Electricity Fund (NEF) (Interest subsidy) Scheme</v>
      </c>
      <c r="P12" s="201" t="str">
        <f t="shared" si="2"/>
        <v>Direct and indirect transfer of funds and liabilities</v>
      </c>
      <c r="Q12" s="201" t="str">
        <f t="shared" si="3"/>
        <v>Production and Consumption</v>
      </c>
      <c r="R12" s="202" t="str">
        <f t="shared" si="4"/>
        <v>Grids</v>
      </c>
      <c r="S12" s="166" t="s">
        <v>22</v>
      </c>
      <c r="T12" s="10">
        <f>H12*'Exchange Rates'!$G$4*10</f>
        <v>0.163540053412181</v>
      </c>
      <c r="U12" s="10">
        <f>I12*'Exchange Rates'!$H$4*10</f>
        <v>1.0693373621891449</v>
      </c>
      <c r="V12" s="10">
        <f>J12*'Exchange Rates'!$I$4*10</f>
        <v>1.3414895900407799</v>
      </c>
      <c r="W12" s="30">
        <f t="shared" si="5"/>
        <v>2.574367005642106</v>
      </c>
      <c r="X12" s="25">
        <f t="shared" si="8"/>
        <v>0.6164387078006629</v>
      </c>
      <c r="Y12" s="11"/>
    </row>
    <row r="13" spans="2:25" x14ac:dyDescent="0.25">
      <c r="B13" s="55" t="s">
        <v>148</v>
      </c>
      <c r="C13" s="7" t="s">
        <v>23</v>
      </c>
      <c r="D13" s="19" t="s">
        <v>178</v>
      </c>
      <c r="E13" s="19" t="s">
        <v>271</v>
      </c>
      <c r="F13" s="54" t="s">
        <v>272</v>
      </c>
      <c r="G13" s="26" t="s">
        <v>9</v>
      </c>
      <c r="H13" s="10" t="s">
        <v>9</v>
      </c>
      <c r="I13" s="10">
        <v>1.32</v>
      </c>
      <c r="J13" s="25">
        <v>10</v>
      </c>
      <c r="K13" s="29">
        <f t="shared" si="0"/>
        <v>11.32</v>
      </c>
      <c r="L13" s="25">
        <f t="shared" si="6"/>
        <v>1.32</v>
      </c>
      <c r="M13" s="11"/>
      <c r="N13" s="200" t="str">
        <f t="shared" si="7"/>
        <v>TD.10</v>
      </c>
      <c r="O13" s="201" t="str">
        <f t="shared" si="1"/>
        <v>National Smart Grid Mission</v>
      </c>
      <c r="P13" s="201" t="str">
        <f t="shared" si="2"/>
        <v>Direct and indirect transfer of funds and liabilities</v>
      </c>
      <c r="Q13" s="201" t="str">
        <f t="shared" si="3"/>
        <v>Production and Consumption</v>
      </c>
      <c r="R13" s="202" t="str">
        <f t="shared" si="4"/>
        <v>Grids</v>
      </c>
      <c r="S13" s="166" t="s">
        <v>9</v>
      </c>
      <c r="T13" s="10" t="s">
        <v>9</v>
      </c>
      <c r="U13" s="10">
        <f>I13*'Exchange Rates'!$H$4*10</f>
        <v>0.20164647401281022</v>
      </c>
      <c r="V13" s="10">
        <f>J13*'Exchange Rates'!$I$4*10</f>
        <v>1.4905439889342</v>
      </c>
      <c r="W13" s="30">
        <f t="shared" si="5"/>
        <v>1.6921904629470101</v>
      </c>
      <c r="X13" s="25">
        <f t="shared" si="8"/>
        <v>0.20164647401281022</v>
      </c>
      <c r="Y13" s="11"/>
    </row>
    <row r="14" spans="2:25" x14ac:dyDescent="0.25">
      <c r="B14" s="55" t="s">
        <v>149</v>
      </c>
      <c r="C14" s="7" t="s">
        <v>24</v>
      </c>
      <c r="D14" s="19" t="s">
        <v>178</v>
      </c>
      <c r="E14" s="19" t="s">
        <v>271</v>
      </c>
      <c r="F14" s="54" t="s">
        <v>272</v>
      </c>
      <c r="G14" s="26" t="s">
        <v>9</v>
      </c>
      <c r="H14" s="10" t="s">
        <v>9</v>
      </c>
      <c r="I14" s="10" t="s">
        <v>9</v>
      </c>
      <c r="J14" s="25" t="s">
        <v>9</v>
      </c>
      <c r="K14" s="29" t="s">
        <v>22</v>
      </c>
      <c r="L14" s="64" t="s">
        <v>22</v>
      </c>
      <c r="M14" s="11"/>
      <c r="N14" s="200" t="str">
        <f t="shared" si="7"/>
        <v>TD.11</v>
      </c>
      <c r="O14" s="201" t="str">
        <f t="shared" si="1"/>
        <v>Green energy corridor projects</v>
      </c>
      <c r="P14" s="201" t="str">
        <f t="shared" si="2"/>
        <v>Direct and indirect transfer of funds and liabilities</v>
      </c>
      <c r="Q14" s="201" t="str">
        <f t="shared" si="3"/>
        <v>Production and Consumption</v>
      </c>
      <c r="R14" s="202" t="str">
        <f t="shared" si="4"/>
        <v>Grids</v>
      </c>
      <c r="S14" s="166" t="s">
        <v>9</v>
      </c>
      <c r="T14" s="10" t="s">
        <v>9</v>
      </c>
      <c r="U14" s="10" t="s">
        <v>9</v>
      </c>
      <c r="V14" s="10" t="s">
        <v>9</v>
      </c>
      <c r="W14" s="166" t="s">
        <v>22</v>
      </c>
      <c r="X14" s="25" t="s">
        <v>22</v>
      </c>
      <c r="Y14" s="11"/>
    </row>
    <row r="15" spans="2:25" x14ac:dyDescent="0.25">
      <c r="B15" s="55" t="s">
        <v>150</v>
      </c>
      <c r="C15" s="6" t="s">
        <v>26</v>
      </c>
      <c r="D15" s="6" t="s">
        <v>25</v>
      </c>
      <c r="E15" s="19" t="s">
        <v>271</v>
      </c>
      <c r="F15" s="54" t="s">
        <v>272</v>
      </c>
      <c r="G15" s="26" t="s">
        <v>27</v>
      </c>
      <c r="H15" s="10" t="s">
        <v>27</v>
      </c>
      <c r="I15" s="10" t="s">
        <v>27</v>
      </c>
      <c r="J15" s="25" t="s">
        <v>27</v>
      </c>
      <c r="K15" s="29" t="s">
        <v>22</v>
      </c>
      <c r="L15" s="64" t="s">
        <v>22</v>
      </c>
      <c r="M15" s="11"/>
      <c r="N15" s="200" t="str">
        <f t="shared" si="7"/>
        <v>TD.12</v>
      </c>
      <c r="O15" s="201" t="str">
        <f t="shared" si="1"/>
        <v>Custom duty rebates on transmission and distribution equipment</v>
      </c>
      <c r="P15" s="201" t="str">
        <f t="shared" si="2"/>
        <v>Government revenue foregone</v>
      </c>
      <c r="Q15" s="201" t="str">
        <f t="shared" si="3"/>
        <v>Production and Consumption</v>
      </c>
      <c r="R15" s="202" t="str">
        <f t="shared" si="4"/>
        <v>Grids</v>
      </c>
      <c r="S15" s="166" t="s">
        <v>28</v>
      </c>
      <c r="T15" s="10" t="s">
        <v>27</v>
      </c>
      <c r="U15" s="10" t="s">
        <v>27</v>
      </c>
      <c r="V15" s="10" t="s">
        <v>27</v>
      </c>
      <c r="W15" s="166" t="s">
        <v>22</v>
      </c>
      <c r="X15" s="25" t="s">
        <v>22</v>
      </c>
      <c r="Y15" s="11"/>
    </row>
    <row r="16" spans="2:25" x14ac:dyDescent="0.25">
      <c r="B16" s="55" t="s">
        <v>151</v>
      </c>
      <c r="C16" s="6" t="s">
        <v>29</v>
      </c>
      <c r="D16" s="6" t="s">
        <v>25</v>
      </c>
      <c r="E16" s="6" t="s">
        <v>137</v>
      </c>
      <c r="F16" s="54" t="s">
        <v>272</v>
      </c>
      <c r="G16" s="26" t="s">
        <v>30</v>
      </c>
      <c r="H16" s="10" t="s">
        <v>31</v>
      </c>
      <c r="I16" s="10" t="s">
        <v>32</v>
      </c>
      <c r="J16" s="25" t="s">
        <v>31</v>
      </c>
      <c r="K16" s="29" t="s">
        <v>22</v>
      </c>
      <c r="L16" s="64" t="s">
        <v>22</v>
      </c>
      <c r="M16" s="11"/>
      <c r="N16" s="200" t="str">
        <f t="shared" si="7"/>
        <v>TD.13</v>
      </c>
      <c r="O16" s="201" t="str">
        <f t="shared" si="1"/>
        <v>Excise duty rebates on transmission and distribution equipment</v>
      </c>
      <c r="P16" s="201" t="str">
        <f t="shared" si="2"/>
        <v>Government revenue foregone</v>
      </c>
      <c r="Q16" s="201" t="str">
        <f t="shared" si="3"/>
        <v>Production</v>
      </c>
      <c r="R16" s="202" t="str">
        <f t="shared" si="4"/>
        <v>Grids</v>
      </c>
      <c r="S16" s="166" t="s">
        <v>31</v>
      </c>
      <c r="T16" s="10" t="s">
        <v>31</v>
      </c>
      <c r="U16" s="10" t="s">
        <v>31</v>
      </c>
      <c r="V16" s="10" t="s">
        <v>31</v>
      </c>
      <c r="W16" s="166" t="s">
        <v>22</v>
      </c>
      <c r="X16" s="25" t="s">
        <v>22</v>
      </c>
      <c r="Y16" s="11"/>
    </row>
    <row r="17" spans="1:25" ht="12.9" customHeight="1" thickBot="1" x14ac:dyDescent="0.3">
      <c r="B17" s="55" t="s">
        <v>152</v>
      </c>
      <c r="C17" s="6" t="s">
        <v>314</v>
      </c>
      <c r="D17" s="6" t="s">
        <v>37</v>
      </c>
      <c r="E17" s="6" t="s">
        <v>138</v>
      </c>
      <c r="F17" s="54" t="s">
        <v>273</v>
      </c>
      <c r="G17" s="203">
        <f>37052</f>
        <v>37052</v>
      </c>
      <c r="H17" s="204">
        <v>47965</v>
      </c>
      <c r="I17" s="10">
        <v>57680</v>
      </c>
      <c r="J17" s="10" t="s">
        <v>13</v>
      </c>
      <c r="K17" s="29">
        <f>SUM(G17:J17)</f>
        <v>142697</v>
      </c>
      <c r="L17" s="25">
        <f>AVERAGE(G17:I17)</f>
        <v>47565.666666666664</v>
      </c>
      <c r="M17" s="11"/>
      <c r="N17" s="205" t="str">
        <f t="shared" si="7"/>
        <v>TD.14</v>
      </c>
      <c r="O17" s="6" t="s">
        <v>314</v>
      </c>
      <c r="P17" s="206" t="str">
        <f t="shared" si="2"/>
        <v>Income or price support</v>
      </c>
      <c r="Q17" s="206" t="str">
        <f t="shared" si="3"/>
        <v>Consumption</v>
      </c>
      <c r="R17" s="207" t="str">
        <f t="shared" si="4"/>
        <v>Consumers</v>
      </c>
      <c r="S17" s="166">
        <f>G17*'Exchange Rates'!$F$4*10</f>
        <v>6124.6811990371007</v>
      </c>
      <c r="T17" s="10">
        <f>H17*'Exchange Rates'!$G$4*10</f>
        <v>7844.1986619152613</v>
      </c>
      <c r="U17" s="10">
        <f>I17*'Exchange Rates'!$H$4*10</f>
        <v>8811.3398644385561</v>
      </c>
      <c r="V17" s="10" t="s">
        <v>13</v>
      </c>
      <c r="W17" s="30">
        <f t="shared" si="5"/>
        <v>22780.219725390918</v>
      </c>
      <c r="X17" s="25">
        <f>AVERAGE(S17:U17)</f>
        <v>7593.406575130306</v>
      </c>
      <c r="Y17" s="11"/>
    </row>
    <row r="18" spans="1:25" ht="13.8" thickBot="1" x14ac:dyDescent="0.3">
      <c r="B18" s="241"/>
      <c r="C18" s="242" t="s">
        <v>1</v>
      </c>
      <c r="D18" s="34"/>
      <c r="E18" s="36"/>
      <c r="F18" s="35"/>
      <c r="G18" s="81">
        <f t="shared" ref="G18:L18" si="9">SUM(G4:G17)</f>
        <v>40331</v>
      </c>
      <c r="H18" s="81">
        <f t="shared" si="9"/>
        <v>52028</v>
      </c>
      <c r="I18" s="81">
        <f t="shared" si="9"/>
        <v>64896.76</v>
      </c>
      <c r="J18" s="81">
        <f t="shared" si="9"/>
        <v>9063.02</v>
      </c>
      <c r="K18" s="81">
        <f t="shared" si="9"/>
        <v>166318.78</v>
      </c>
      <c r="L18" s="209">
        <f t="shared" si="9"/>
        <v>52720.644999999997</v>
      </c>
      <c r="M18" s="11"/>
      <c r="N18" s="208"/>
      <c r="O18" s="80" t="s">
        <v>1</v>
      </c>
      <c r="P18" s="80"/>
      <c r="Q18" s="80"/>
      <c r="R18" s="82"/>
      <c r="S18" s="83">
        <f t="shared" ref="S18:X18" si="10">SUM(S4:S17)</f>
        <v>6666.6986245915286</v>
      </c>
      <c r="T18" s="81">
        <f t="shared" si="10"/>
        <v>8508.6618989289527</v>
      </c>
      <c r="U18" s="81">
        <f t="shared" si="10"/>
        <v>9913.7900218602899</v>
      </c>
      <c r="V18" s="209">
        <f t="shared" si="10"/>
        <v>1350.8829982590435</v>
      </c>
      <c r="W18" s="81">
        <f t="shared" si="10"/>
        <v>26440.033543639813</v>
      </c>
      <c r="X18" s="209">
        <f t="shared" si="10"/>
        <v>8409.6460200628972</v>
      </c>
      <c r="Y18" s="11"/>
    </row>
    <row r="19" spans="1:25" x14ac:dyDescent="0.25">
      <c r="G19" s="11"/>
      <c r="H19" s="11"/>
      <c r="I19" s="11"/>
      <c r="J19" s="11"/>
      <c r="K19" s="210"/>
      <c r="L19" s="11"/>
      <c r="M19" s="11"/>
      <c r="N19" s="211"/>
      <c r="O19" s="11"/>
      <c r="P19" s="11"/>
      <c r="Q19" s="11"/>
      <c r="R19" s="11"/>
      <c r="S19" s="11"/>
      <c r="T19" s="11"/>
      <c r="U19" s="11"/>
      <c r="V19" s="11"/>
      <c r="W19" s="210"/>
      <c r="X19" s="11"/>
      <c r="Y19" s="11"/>
    </row>
    <row r="20" spans="1:25" ht="13.8" thickBot="1" x14ac:dyDescent="0.3">
      <c r="A20" s="9"/>
      <c r="B20" s="9" t="s">
        <v>277</v>
      </c>
      <c r="G20" s="11"/>
      <c r="H20" s="11"/>
      <c r="I20" s="11"/>
      <c r="J20" s="11"/>
      <c r="K20" s="210"/>
      <c r="L20" s="11"/>
      <c r="M20" s="11"/>
      <c r="N20" s="9" t="s">
        <v>277</v>
      </c>
      <c r="O20" s="11"/>
      <c r="P20" s="11"/>
      <c r="Q20" s="11"/>
      <c r="R20" s="11"/>
      <c r="S20" s="11"/>
      <c r="T20" s="11"/>
      <c r="U20" s="11"/>
      <c r="V20" s="11"/>
      <c r="W20" s="210"/>
      <c r="X20" s="11"/>
      <c r="Y20" s="11"/>
    </row>
    <row r="21" spans="1:25" x14ac:dyDescent="0.25">
      <c r="B21" s="49" t="s">
        <v>2</v>
      </c>
      <c r="C21" s="48" t="s">
        <v>3</v>
      </c>
      <c r="D21" s="48" t="s">
        <v>310</v>
      </c>
      <c r="E21" s="48" t="s">
        <v>311</v>
      </c>
      <c r="F21" s="48" t="s">
        <v>312</v>
      </c>
      <c r="G21" s="46" t="s">
        <v>4</v>
      </c>
      <c r="H21" s="48" t="s">
        <v>5</v>
      </c>
      <c r="I21" s="48" t="s">
        <v>6</v>
      </c>
      <c r="J21" s="47" t="s">
        <v>7</v>
      </c>
      <c r="K21" s="70" t="s">
        <v>1</v>
      </c>
      <c r="L21" s="47" t="s">
        <v>309</v>
      </c>
      <c r="M21" s="11"/>
      <c r="N21" s="49" t="s">
        <v>2</v>
      </c>
      <c r="O21" s="48" t="s">
        <v>3</v>
      </c>
      <c r="P21" s="48" t="s">
        <v>310</v>
      </c>
      <c r="Q21" s="48" t="s">
        <v>311</v>
      </c>
      <c r="R21" s="48" t="s">
        <v>312</v>
      </c>
      <c r="S21" s="46" t="s">
        <v>4</v>
      </c>
      <c r="T21" s="48" t="s">
        <v>5</v>
      </c>
      <c r="U21" s="48" t="s">
        <v>6</v>
      </c>
      <c r="V21" s="47" t="s">
        <v>7</v>
      </c>
      <c r="W21" s="70" t="s">
        <v>1</v>
      </c>
      <c r="X21" s="47" t="s">
        <v>309</v>
      </c>
      <c r="Y21" s="11"/>
    </row>
    <row r="22" spans="1:25" x14ac:dyDescent="0.25">
      <c r="B22" s="55" t="s">
        <v>153</v>
      </c>
      <c r="C22" s="7" t="s">
        <v>16</v>
      </c>
      <c r="D22" s="120" t="s">
        <v>178</v>
      </c>
      <c r="E22" s="19" t="s">
        <v>271</v>
      </c>
      <c r="F22" s="54" t="s">
        <v>272</v>
      </c>
      <c r="G22" s="26">
        <v>1500</v>
      </c>
      <c r="H22" s="10">
        <v>400</v>
      </c>
      <c r="I22" s="10" t="s">
        <v>22</v>
      </c>
      <c r="J22" s="25" t="s">
        <v>22</v>
      </c>
      <c r="K22" s="30">
        <f t="shared" ref="K22" si="11">SUM(G22:J22)</f>
        <v>1900</v>
      </c>
      <c r="L22" s="25">
        <f t="shared" ref="L22:L23" si="12">AVERAGE(G22:I22)</f>
        <v>950</v>
      </c>
      <c r="M22" s="11"/>
      <c r="N22" s="200" t="str">
        <f>B22</f>
        <v>TD.15</v>
      </c>
      <c r="O22" s="7" t="str">
        <f>C22</f>
        <v xml:space="preserve">Financial Restructuring of State Distribution Companies (Discoms) scheme. </v>
      </c>
      <c r="P22" s="7" t="str">
        <f t="shared" ref="P22:P23" si="13">D22</f>
        <v>Direct and indirect transfer of funds and liabilities</v>
      </c>
      <c r="Q22" s="7" t="str">
        <f t="shared" ref="Q22:Q23" si="14">E22</f>
        <v>Production and Consumption</v>
      </c>
      <c r="R22" s="28" t="str">
        <f t="shared" ref="R22:R23" si="15">F22</f>
        <v>Grids</v>
      </c>
      <c r="S22" s="26">
        <f>G22*'Exchange Rates'!$F$4*10</f>
        <v>247.949416996536</v>
      </c>
      <c r="T22" s="10">
        <f>H22*'Exchange Rates'!$G$4*10</f>
        <v>65.416021364872407</v>
      </c>
      <c r="U22" s="10" t="s">
        <v>22</v>
      </c>
      <c r="V22" s="25" t="s">
        <v>22</v>
      </c>
      <c r="W22" s="30">
        <f t="shared" ref="W22" si="16">SUM(S22:V22)</f>
        <v>313.36543836140839</v>
      </c>
      <c r="X22" s="25">
        <f t="shared" ref="X22:X23" si="17">AVERAGE(S22:U22)</f>
        <v>156.6827191807042</v>
      </c>
      <c r="Y22" s="11"/>
    </row>
    <row r="23" spans="1:25" ht="13.8" thickBot="1" x14ac:dyDescent="0.3">
      <c r="B23" s="173" t="s">
        <v>154</v>
      </c>
      <c r="C23" s="40" t="s">
        <v>8</v>
      </c>
      <c r="D23" s="214" t="s">
        <v>178</v>
      </c>
      <c r="E23" s="215" t="s">
        <v>271</v>
      </c>
      <c r="F23" s="39" t="s">
        <v>272</v>
      </c>
      <c r="G23" s="75" t="s">
        <v>9</v>
      </c>
      <c r="H23" s="76" t="s">
        <v>9</v>
      </c>
      <c r="I23" s="76">
        <v>92113</v>
      </c>
      <c r="J23" s="77">
        <v>78689</v>
      </c>
      <c r="K23" s="78">
        <f>SUM(G23:J23)</f>
        <v>170802</v>
      </c>
      <c r="L23" s="77">
        <f t="shared" si="12"/>
        <v>92113</v>
      </c>
      <c r="M23" s="11"/>
      <c r="N23" s="205" t="str">
        <f>B23</f>
        <v>TD.16</v>
      </c>
      <c r="O23" s="218" t="str">
        <f t="shared" ref="O23" si="18">C23</f>
        <v xml:space="preserve">Ujwal Discom Assurance Yojana (UDAY) </v>
      </c>
      <c r="P23" s="218" t="str">
        <f t="shared" si="13"/>
        <v>Direct and indirect transfer of funds and liabilities</v>
      </c>
      <c r="Q23" s="218" t="str">
        <f t="shared" si="14"/>
        <v>Production and Consumption</v>
      </c>
      <c r="R23" s="236" t="str">
        <f t="shared" si="15"/>
        <v>Grids</v>
      </c>
      <c r="S23" s="75" t="s">
        <v>9</v>
      </c>
      <c r="T23" s="76" t="s">
        <v>9</v>
      </c>
      <c r="U23" s="76">
        <f>I23*'Exchange Rates'!$H$4*10</f>
        <v>14071.410349046961</v>
      </c>
      <c r="V23" s="77">
        <f>J23*'Exchange Rates'!$I$4*10</f>
        <v>11728.941594524327</v>
      </c>
      <c r="W23" s="232">
        <f>SUM(S23:V23)</f>
        <v>25800.351943571288</v>
      </c>
      <c r="X23" s="77">
        <f t="shared" si="17"/>
        <v>14071.410349046961</v>
      </c>
      <c r="Y23" s="11"/>
    </row>
    <row r="24" spans="1:25" ht="13.8" thickBot="1" x14ac:dyDescent="0.3">
      <c r="B24" s="37"/>
      <c r="C24" s="36" t="s">
        <v>1</v>
      </c>
      <c r="D24" s="36"/>
      <c r="E24" s="36"/>
      <c r="F24" s="35"/>
      <c r="G24" s="81">
        <f>SUM(G22:G23)</f>
        <v>1500</v>
      </c>
      <c r="H24" s="80">
        <f t="shared" ref="H24:L24" si="19">SUM(H22:H23)</f>
        <v>400</v>
      </c>
      <c r="I24" s="80">
        <f t="shared" si="19"/>
        <v>92113</v>
      </c>
      <c r="J24" s="82">
        <f t="shared" si="19"/>
        <v>78689</v>
      </c>
      <c r="K24" s="83">
        <f t="shared" si="19"/>
        <v>172702</v>
      </c>
      <c r="L24" s="82">
        <f t="shared" si="19"/>
        <v>93063</v>
      </c>
      <c r="M24" s="11"/>
      <c r="N24" s="208"/>
      <c r="O24" s="80" t="s">
        <v>1</v>
      </c>
      <c r="P24" s="80"/>
      <c r="Q24" s="80"/>
      <c r="R24" s="82"/>
      <c r="S24" s="81">
        <f t="shared" ref="S24:X24" si="20">SUM(S22:S23)</f>
        <v>247.949416996536</v>
      </c>
      <c r="T24" s="80">
        <f t="shared" si="20"/>
        <v>65.416021364872407</v>
      </c>
      <c r="U24" s="80">
        <f t="shared" si="20"/>
        <v>14071.410349046961</v>
      </c>
      <c r="V24" s="82">
        <f t="shared" si="20"/>
        <v>11728.941594524327</v>
      </c>
      <c r="W24" s="83">
        <f t="shared" si="20"/>
        <v>26113.717381932696</v>
      </c>
      <c r="X24" s="82">
        <f t="shared" si="20"/>
        <v>14228.093068227665</v>
      </c>
      <c r="Y24" s="11"/>
    </row>
    <row r="25" spans="1:25" x14ac:dyDescent="0.25">
      <c r="G25" s="11"/>
      <c r="H25" s="11"/>
      <c r="I25" s="11"/>
      <c r="J25" s="11"/>
      <c r="K25" s="210"/>
      <c r="L25" s="11"/>
      <c r="M25" s="11"/>
      <c r="N25" s="211"/>
      <c r="O25" s="11"/>
      <c r="P25" s="11"/>
      <c r="Q25" s="11"/>
      <c r="R25" s="11"/>
      <c r="S25" s="11"/>
      <c r="T25" s="11"/>
      <c r="U25" s="11"/>
      <c r="V25" s="11"/>
      <c r="W25" s="210"/>
      <c r="X25" s="11"/>
      <c r="Y25" s="11"/>
    </row>
    <row r="26" spans="1:25" ht="13.8" thickBot="1" x14ac:dyDescent="0.3">
      <c r="B26" s="9" t="s">
        <v>319</v>
      </c>
      <c r="G26" s="11"/>
      <c r="H26" s="11"/>
      <c r="I26" s="11"/>
      <c r="J26" s="11"/>
      <c r="K26" s="210"/>
      <c r="L26" s="11"/>
      <c r="M26" s="11"/>
      <c r="N26" s="212" t="s">
        <v>320</v>
      </c>
      <c r="O26" s="11"/>
      <c r="P26" s="11"/>
      <c r="Q26" s="11"/>
      <c r="R26" s="11"/>
      <c r="S26" s="11"/>
      <c r="T26" s="11"/>
      <c r="U26" s="11"/>
      <c r="V26" s="11"/>
      <c r="W26" s="210"/>
      <c r="X26" s="11"/>
      <c r="Y26" s="11"/>
    </row>
    <row r="27" spans="1:25" x14ac:dyDescent="0.25">
      <c r="B27" s="49" t="s">
        <v>2</v>
      </c>
      <c r="C27" s="48" t="s">
        <v>3</v>
      </c>
      <c r="D27" s="48" t="s">
        <v>310</v>
      </c>
      <c r="E27" s="48" t="s">
        <v>311</v>
      </c>
      <c r="F27" s="48" t="s">
        <v>312</v>
      </c>
      <c r="G27" s="46" t="s">
        <v>4</v>
      </c>
      <c r="H27" s="48" t="s">
        <v>5</v>
      </c>
      <c r="I27" s="48" t="s">
        <v>6</v>
      </c>
      <c r="J27" s="47" t="s">
        <v>7</v>
      </c>
      <c r="K27" s="70" t="s">
        <v>1</v>
      </c>
      <c r="L27" s="47" t="s">
        <v>309</v>
      </c>
      <c r="M27" s="11"/>
      <c r="N27" s="49" t="s">
        <v>2</v>
      </c>
      <c r="O27" s="48" t="s">
        <v>3</v>
      </c>
      <c r="P27" s="48" t="s">
        <v>310</v>
      </c>
      <c r="Q27" s="48" t="s">
        <v>311</v>
      </c>
      <c r="R27" s="48" t="s">
        <v>312</v>
      </c>
      <c r="S27" s="46" t="s">
        <v>4</v>
      </c>
      <c r="T27" s="48" t="s">
        <v>5</v>
      </c>
      <c r="U27" s="48" t="s">
        <v>6</v>
      </c>
      <c r="V27" s="47" t="s">
        <v>7</v>
      </c>
      <c r="W27" s="70" t="s">
        <v>1</v>
      </c>
      <c r="X27" s="47" t="s">
        <v>309</v>
      </c>
      <c r="Y27" s="11"/>
    </row>
    <row r="28" spans="1:25" ht="14.4" customHeight="1" x14ac:dyDescent="0.25">
      <c r="B28" s="41" t="s">
        <v>155</v>
      </c>
      <c r="C28" s="6" t="s">
        <v>33</v>
      </c>
      <c r="D28" s="19" t="s">
        <v>178</v>
      </c>
      <c r="E28" s="19" t="s">
        <v>271</v>
      </c>
      <c r="F28" s="54" t="s">
        <v>272</v>
      </c>
      <c r="G28" s="238" t="s">
        <v>27</v>
      </c>
      <c r="H28" s="239" t="s">
        <v>27</v>
      </c>
      <c r="I28" s="239" t="s">
        <v>27</v>
      </c>
      <c r="J28" s="240" t="s">
        <v>27</v>
      </c>
      <c r="K28" s="30">
        <f t="shared" ref="K28:K31" si="21">SUM(G28:J28)</f>
        <v>0</v>
      </c>
      <c r="L28" s="64" t="s">
        <v>22</v>
      </c>
      <c r="M28" s="11"/>
      <c r="N28" s="200" t="str">
        <f t="shared" ref="N28:N31" si="22">B28</f>
        <v>TD.17</v>
      </c>
      <c r="O28" s="7" t="str">
        <f t="shared" ref="O28:O31" si="23">C28</f>
        <v>Low cost loan from multilateral agencies/ bilateral agencies</v>
      </c>
      <c r="P28" s="7" t="str">
        <f t="shared" ref="P28:P31" si="24">D28</f>
        <v>Direct and indirect transfer of funds and liabilities</v>
      </c>
      <c r="Q28" s="7" t="str">
        <f t="shared" ref="Q28:Q31" si="25">E28</f>
        <v>Production and Consumption</v>
      </c>
      <c r="R28" s="28" t="str">
        <f t="shared" ref="R28:R31" si="26">F28</f>
        <v>Grids</v>
      </c>
      <c r="S28" s="238" t="s">
        <v>27</v>
      </c>
      <c r="T28" s="239" t="s">
        <v>27</v>
      </c>
      <c r="U28" s="239" t="s">
        <v>27</v>
      </c>
      <c r="V28" s="240" t="s">
        <v>27</v>
      </c>
      <c r="W28" s="30">
        <f t="shared" ref="W28" si="27">SUM(S28:V28)</f>
        <v>0</v>
      </c>
      <c r="X28" s="64" t="s">
        <v>22</v>
      </c>
      <c r="Y28" s="11"/>
    </row>
    <row r="29" spans="1:25" ht="15" customHeight="1" x14ac:dyDescent="0.25">
      <c r="B29" s="41" t="s">
        <v>156</v>
      </c>
      <c r="C29" s="6" t="s">
        <v>34</v>
      </c>
      <c r="D29" s="6" t="s">
        <v>25</v>
      </c>
      <c r="E29" s="6" t="s">
        <v>138</v>
      </c>
      <c r="F29" s="54" t="s">
        <v>274</v>
      </c>
      <c r="G29" s="26">
        <f>507</f>
        <v>507</v>
      </c>
      <c r="H29" s="10">
        <f>761</f>
        <v>761</v>
      </c>
      <c r="I29" s="10">
        <f>649</f>
        <v>649</v>
      </c>
      <c r="J29" s="25" t="s">
        <v>13</v>
      </c>
      <c r="K29" s="30">
        <f t="shared" si="21"/>
        <v>1917</v>
      </c>
      <c r="L29" s="25">
        <f t="shared" ref="L29:L31" si="28">AVERAGE(G29:I29)</f>
        <v>639</v>
      </c>
      <c r="M29" s="11"/>
      <c r="N29" s="200" t="str">
        <f t="shared" si="22"/>
        <v>TD.18</v>
      </c>
      <c r="O29" s="7" t="str">
        <f t="shared" si="23"/>
        <v>Electricity duty rebates for some consumer categories</v>
      </c>
      <c r="P29" s="7" t="str">
        <f t="shared" si="24"/>
        <v>Government revenue foregone</v>
      </c>
      <c r="Q29" s="7" t="str">
        <f t="shared" si="25"/>
        <v>Consumption</v>
      </c>
      <c r="R29" s="28" t="str">
        <f t="shared" si="26"/>
        <v xml:space="preserve">Consumers </v>
      </c>
      <c r="S29" s="26">
        <f>G29*'Exchange Rates'!$F$4*10</f>
        <v>83.806902944829176</v>
      </c>
      <c r="T29" s="10">
        <f>H29*'Exchange Rates'!$G$4*10</f>
        <v>124.45398064666975</v>
      </c>
      <c r="U29" s="10">
        <f>I29*'Exchange Rates'!$H$4*10</f>
        <v>99.142849722965011</v>
      </c>
      <c r="V29" s="25" t="s">
        <v>13</v>
      </c>
      <c r="W29" s="30">
        <f t="shared" ref="W29:W31" si="29">SUM(S29:V29)</f>
        <v>307.40373331446392</v>
      </c>
      <c r="X29" s="25">
        <f>AVERAGE(S29:U29)</f>
        <v>102.46791110482131</v>
      </c>
      <c r="Y29" s="11"/>
    </row>
    <row r="30" spans="1:25" ht="13.5" customHeight="1" x14ac:dyDescent="0.25">
      <c r="B30" s="41" t="s">
        <v>157</v>
      </c>
      <c r="C30" s="6" t="s">
        <v>36</v>
      </c>
      <c r="D30" s="6" t="s">
        <v>35</v>
      </c>
      <c r="E30" s="19" t="s">
        <v>271</v>
      </c>
      <c r="F30" s="54" t="s">
        <v>272</v>
      </c>
      <c r="G30" s="26">
        <v>1827</v>
      </c>
      <c r="H30" s="10">
        <v>2189</v>
      </c>
      <c r="I30" s="10">
        <v>2465</v>
      </c>
      <c r="J30" s="25" t="s">
        <v>13</v>
      </c>
      <c r="K30" s="30">
        <f t="shared" si="21"/>
        <v>6481</v>
      </c>
      <c r="L30" s="25">
        <f t="shared" si="28"/>
        <v>2160.3333333333335</v>
      </c>
      <c r="M30" s="11"/>
      <c r="N30" s="200" t="str">
        <f t="shared" si="22"/>
        <v>TD.19</v>
      </c>
      <c r="O30" s="7" t="str">
        <f t="shared" si="23"/>
        <v>Unclaimed return on equity</v>
      </c>
      <c r="P30" s="7" t="str">
        <f t="shared" si="24"/>
        <v>Provision of goods or services below market value</v>
      </c>
      <c r="Q30" s="7" t="str">
        <f t="shared" si="25"/>
        <v>Production and Consumption</v>
      </c>
      <c r="R30" s="28" t="str">
        <f t="shared" si="26"/>
        <v>Grids</v>
      </c>
      <c r="S30" s="26">
        <f>G30*'Exchange Rates'!$F$4*10</f>
        <v>302.00238990178087</v>
      </c>
      <c r="T30" s="10">
        <f>H30*'Exchange Rates'!$G$4*10</f>
        <v>357.9891769192642</v>
      </c>
      <c r="U30" s="10">
        <f>I30*'Exchange Rates'!$H$4*10</f>
        <v>376.55951397089177</v>
      </c>
      <c r="V30" s="25" t="s">
        <v>13</v>
      </c>
      <c r="W30" s="30">
        <f t="shared" si="29"/>
        <v>1036.5510807919368</v>
      </c>
      <c r="X30" s="25">
        <f t="shared" ref="X30:X31" si="30">AVERAGE(S30:U30)</f>
        <v>345.51702693064561</v>
      </c>
      <c r="Y30" s="11"/>
    </row>
    <row r="31" spans="1:25" ht="15.9" customHeight="1" thickBot="1" x14ac:dyDescent="0.3">
      <c r="B31" s="216" t="s">
        <v>158</v>
      </c>
      <c r="C31" s="6" t="s">
        <v>315</v>
      </c>
      <c r="D31" s="40" t="s">
        <v>37</v>
      </c>
      <c r="E31" s="40" t="s">
        <v>138</v>
      </c>
      <c r="F31" s="39" t="s">
        <v>274</v>
      </c>
      <c r="G31" s="234">
        <f>1570</f>
        <v>1570</v>
      </c>
      <c r="H31" s="217">
        <f>3180</f>
        <v>3180</v>
      </c>
      <c r="I31" s="217">
        <f>1770</f>
        <v>1770</v>
      </c>
      <c r="J31" s="235" t="s">
        <v>13</v>
      </c>
      <c r="K31" s="233">
        <f t="shared" si="21"/>
        <v>6520</v>
      </c>
      <c r="L31" s="77">
        <f t="shared" si="28"/>
        <v>2173.3333333333335</v>
      </c>
      <c r="M31" s="11"/>
      <c r="N31" s="205" t="str">
        <f t="shared" si="22"/>
        <v>TD.20</v>
      </c>
      <c r="O31" s="218" t="str">
        <f t="shared" si="23"/>
        <v>Under-recovery of costs by Rajasthan distribution utilities for keeping below-market prices for certain categories of consumers</v>
      </c>
      <c r="P31" s="218" t="str">
        <f t="shared" si="24"/>
        <v>Income or price support</v>
      </c>
      <c r="Q31" s="218" t="str">
        <f t="shared" si="25"/>
        <v>Consumption</v>
      </c>
      <c r="R31" s="236" t="str">
        <f t="shared" si="26"/>
        <v xml:space="preserve">Consumers </v>
      </c>
      <c r="S31" s="75">
        <f>G31*'Exchange Rates'!$F$4*10</f>
        <v>259.52038978970768</v>
      </c>
      <c r="T31" s="76">
        <f>H31*'Exchange Rates'!$G$4*10</f>
        <v>520.05736985073565</v>
      </c>
      <c r="U31" s="76">
        <f>I31*'Exchange Rates'!$H$4*10</f>
        <v>270.38959015354095</v>
      </c>
      <c r="V31" s="235" t="s">
        <v>13</v>
      </c>
      <c r="W31" s="78">
        <f t="shared" si="29"/>
        <v>1049.9673497939843</v>
      </c>
      <c r="X31" s="77">
        <f t="shared" si="30"/>
        <v>349.98911659799478</v>
      </c>
      <c r="Y31" s="11"/>
    </row>
    <row r="32" spans="1:25" ht="14.1" customHeight="1" thickBot="1" x14ac:dyDescent="0.3">
      <c r="B32" s="37"/>
      <c r="C32" s="36" t="s">
        <v>1</v>
      </c>
      <c r="D32" s="36"/>
      <c r="E32" s="36"/>
      <c r="F32" s="35"/>
      <c r="G32" s="81">
        <f>SUM(G28:G31)</f>
        <v>3904</v>
      </c>
      <c r="H32" s="80">
        <f t="shared" ref="H32:L32" si="31">SUM(H28:H31)</f>
        <v>6130</v>
      </c>
      <c r="I32" s="80">
        <f t="shared" si="31"/>
        <v>4884</v>
      </c>
      <c r="J32" s="82">
        <f t="shared" si="31"/>
        <v>0</v>
      </c>
      <c r="K32" s="83">
        <f t="shared" si="31"/>
        <v>14918</v>
      </c>
      <c r="L32" s="82">
        <f t="shared" si="31"/>
        <v>4972.666666666667</v>
      </c>
      <c r="M32" s="11"/>
      <c r="N32" s="208"/>
      <c r="O32" s="80" t="s">
        <v>1</v>
      </c>
      <c r="P32" s="80"/>
      <c r="Q32" s="80"/>
      <c r="R32" s="82"/>
      <c r="S32" s="81">
        <f t="shared" ref="S32:X32" si="32">SUM(S28:S31)</f>
        <v>645.32968263631778</v>
      </c>
      <c r="T32" s="243">
        <f t="shared" si="32"/>
        <v>1002.5005274166696</v>
      </c>
      <c r="U32" s="80">
        <f t="shared" si="32"/>
        <v>746.09195384739769</v>
      </c>
      <c r="V32" s="82">
        <f t="shared" si="32"/>
        <v>0</v>
      </c>
      <c r="W32" s="83">
        <f t="shared" si="32"/>
        <v>2393.9221639003849</v>
      </c>
      <c r="X32" s="82">
        <f t="shared" si="32"/>
        <v>797.97405463346172</v>
      </c>
      <c r="Y32" s="11"/>
    </row>
  </sheetData>
  <pageMargins left="0.7" right="0.7" top="0.75" bottom="0.75" header="0.3" footer="0.3"/>
  <pageSetup orientation="portrait" r:id="rId1"/>
  <ignoredErrors>
    <ignoredError sqref="L4:L5 L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32"/>
  <sheetViews>
    <sheetView showGridLines="0" tabSelected="1" zoomScale="75" zoomScaleNormal="75" zoomScalePageLayoutView="60" workbookViewId="0">
      <selection activeCell="P30" sqref="P30"/>
    </sheetView>
  </sheetViews>
  <sheetFormatPr defaultColWidth="8.88671875" defaultRowHeight="13.2" x14ac:dyDescent="0.25"/>
  <cols>
    <col min="1" max="1" width="4.109375" style="1" customWidth="1"/>
    <col min="2" max="2" width="5.88671875" style="5" bestFit="1" customWidth="1"/>
    <col min="3" max="3" width="32.6640625" style="1" customWidth="1"/>
    <col min="4" max="6" width="10.88671875" style="1" customWidth="1"/>
    <col min="7" max="12" width="9.88671875" style="1" customWidth="1"/>
    <col min="13" max="13" width="4.44140625" style="1" customWidth="1"/>
    <col min="14" max="14" width="5.88671875" style="1" bestFit="1" customWidth="1"/>
    <col min="15" max="15" width="34.6640625" style="1" customWidth="1"/>
    <col min="16" max="18" width="10.88671875" style="1" customWidth="1"/>
    <col min="19" max="24" width="10.109375" style="1" customWidth="1"/>
    <col min="25" max="16384" width="8.88671875" style="1"/>
  </cols>
  <sheetData>
    <row r="2" spans="2:24" ht="13.8" thickBot="1" x14ac:dyDescent="0.3">
      <c r="B2" s="5" t="s">
        <v>321</v>
      </c>
      <c r="N2" s="186" t="s">
        <v>322</v>
      </c>
      <c r="O2" s="187"/>
      <c r="P2" s="187"/>
      <c r="Q2" s="187"/>
      <c r="R2" s="187"/>
    </row>
    <row r="3" spans="2:24" ht="13.8" thickBot="1" x14ac:dyDescent="0.3">
      <c r="B3" s="46" t="s">
        <v>2</v>
      </c>
      <c r="C3" s="48" t="s">
        <v>3</v>
      </c>
      <c r="D3" s="48" t="s">
        <v>310</v>
      </c>
      <c r="E3" s="48" t="s">
        <v>311</v>
      </c>
      <c r="F3" s="48" t="s">
        <v>312</v>
      </c>
      <c r="G3" s="46" t="s">
        <v>4</v>
      </c>
      <c r="H3" s="48" t="s">
        <v>5</v>
      </c>
      <c r="I3" s="48" t="s">
        <v>6</v>
      </c>
      <c r="J3" s="47" t="s">
        <v>7</v>
      </c>
      <c r="K3" s="46" t="s">
        <v>1</v>
      </c>
      <c r="L3" s="47" t="s">
        <v>309</v>
      </c>
      <c r="N3" s="46" t="s">
        <v>2</v>
      </c>
      <c r="O3" s="48" t="s">
        <v>3</v>
      </c>
      <c r="P3" s="48" t="s">
        <v>310</v>
      </c>
      <c r="Q3" s="48" t="s">
        <v>311</v>
      </c>
      <c r="R3" s="48" t="s">
        <v>312</v>
      </c>
      <c r="S3" s="70" t="s">
        <v>4</v>
      </c>
      <c r="T3" s="48" t="s">
        <v>5</v>
      </c>
      <c r="U3" s="48" t="s">
        <v>6</v>
      </c>
      <c r="V3" s="47" t="s">
        <v>7</v>
      </c>
      <c r="W3" s="72" t="s">
        <v>1</v>
      </c>
      <c r="X3" s="47" t="s">
        <v>309</v>
      </c>
    </row>
    <row r="4" spans="2:24" s="11" customFormat="1" x14ac:dyDescent="0.25">
      <c r="B4" s="66" t="s">
        <v>159</v>
      </c>
      <c r="C4" s="65" t="s">
        <v>134</v>
      </c>
      <c r="D4" s="19" t="s">
        <v>178</v>
      </c>
      <c r="E4" s="6" t="s">
        <v>137</v>
      </c>
      <c r="F4" s="28" t="s">
        <v>251</v>
      </c>
      <c r="G4" s="67">
        <v>995.46029515984196</v>
      </c>
      <c r="H4" s="68">
        <v>1043.797615638601</v>
      </c>
      <c r="I4" s="68">
        <v>1064.1617568784447</v>
      </c>
      <c r="J4" s="69">
        <v>1103.4171786688444</v>
      </c>
      <c r="K4" s="66">
        <f>SUM(G4:J4)</f>
        <v>4206.8368463457318</v>
      </c>
      <c r="L4" s="69">
        <f>AVERAGE(G4:I4)</f>
        <v>1034.4732225589626</v>
      </c>
      <c r="N4" s="29" t="str">
        <f>B4</f>
        <v>C.1</v>
      </c>
      <c r="O4" s="7" t="str">
        <f>C4</f>
        <v>Non-incurrence of costs due to non-compliance of mandate related to coal washing/beneficiation</v>
      </c>
      <c r="P4" s="7" t="str">
        <f t="shared" ref="P4:P21" si="0">D4</f>
        <v>Direct and indirect transfer of funds and liabilities</v>
      </c>
      <c r="Q4" s="7" t="str">
        <f t="shared" ref="Q4:Q21" si="1">E4</f>
        <v>Production</v>
      </c>
      <c r="R4" s="28" t="str">
        <f t="shared" ref="R4:R21" si="2">F4</f>
        <v>Development, extraction and preparation</v>
      </c>
      <c r="S4" s="175">
        <f>G4*'Exchange Rates'!$F$4*10</f>
        <v>164.5491998853883</v>
      </c>
      <c r="T4" s="44">
        <f>H4*'Exchange Rates'!$G$4*10</f>
        <v>170.70271781304399</v>
      </c>
      <c r="U4" s="44">
        <f>I4*'Exchange Rates'!$H$4*10</f>
        <v>162.5639894347089</v>
      </c>
      <c r="V4" s="43">
        <f>J4*'Exchange Rates'!$I$4*10</f>
        <v>164.46918429515802</v>
      </c>
      <c r="W4" s="30">
        <f>SUM(S4:V4)</f>
        <v>662.28509142829921</v>
      </c>
      <c r="X4" s="25">
        <f>AVERAGE(S4:U4)</f>
        <v>165.93863571104706</v>
      </c>
    </row>
    <row r="5" spans="2:24" s="11" customFormat="1" x14ac:dyDescent="0.25">
      <c r="B5" s="29" t="s">
        <v>160</v>
      </c>
      <c r="C5" s="7" t="s">
        <v>67</v>
      </c>
      <c r="D5" s="19" t="s">
        <v>178</v>
      </c>
      <c r="E5" s="6" t="s">
        <v>137</v>
      </c>
      <c r="F5" s="28" t="s">
        <v>308</v>
      </c>
      <c r="G5" s="26">
        <f>261.1</f>
        <v>261.10000000000002</v>
      </c>
      <c r="H5" s="10">
        <f>260</f>
        <v>260</v>
      </c>
      <c r="I5" s="10">
        <v>245</v>
      </c>
      <c r="J5" s="25">
        <v>350.5</v>
      </c>
      <c r="K5" s="29">
        <f t="shared" ref="K5:K15" si="3">SUM(G5:J5)</f>
        <v>1116.5999999999999</v>
      </c>
      <c r="L5" s="25">
        <f>AVERAGE(G5:I5)</f>
        <v>255.36666666666667</v>
      </c>
      <c r="N5" s="29" t="str">
        <f t="shared" ref="N5:N21" si="4">B5</f>
        <v>C.2</v>
      </c>
      <c r="O5" s="7" t="str">
        <f t="shared" ref="O5:O21" si="5">C5</f>
        <v>Conservation and Safety in Coal Mines and Development of Transport Infrastructure under Coal Conservation and Development advisory Committee (CCDA)</v>
      </c>
      <c r="P5" s="7" t="str">
        <f t="shared" si="0"/>
        <v>Direct and indirect transfer of funds and liabilities</v>
      </c>
      <c r="Q5" s="7" t="str">
        <f t="shared" si="1"/>
        <v>Production</v>
      </c>
      <c r="R5" s="28" t="str">
        <f t="shared" si="2"/>
        <v>Cross-cutting through the value chain</v>
      </c>
      <c r="S5" s="59">
        <f>G5*'Exchange Rates'!$F$4*10</f>
        <v>43.159728518530372</v>
      </c>
      <c r="T5" s="2">
        <f>H5*'Exchange Rates'!$G$4*10</f>
        <v>42.520413887167059</v>
      </c>
      <c r="U5" s="2">
        <f>I5*'Exchange Rates'!$H$4*10</f>
        <v>37.426807676620079</v>
      </c>
      <c r="V5" s="51">
        <f>J5*'Exchange Rates'!$I$4*10</f>
        <v>52.243566812143712</v>
      </c>
      <c r="W5" s="30">
        <f t="shared" ref="W5:W15" si="6">SUM(S5:V5)</f>
        <v>175.35051689446124</v>
      </c>
      <c r="X5" s="25">
        <f>AVERAGE(S5:U5)</f>
        <v>41.035650027439175</v>
      </c>
    </row>
    <row r="6" spans="2:24" s="11" customFormat="1" x14ac:dyDescent="0.25">
      <c r="B6" s="29" t="s">
        <v>161</v>
      </c>
      <c r="C6" s="7" t="s">
        <v>68</v>
      </c>
      <c r="D6" s="19" t="s">
        <v>178</v>
      </c>
      <c r="E6" s="6" t="s">
        <v>137</v>
      </c>
      <c r="F6" s="28" t="s">
        <v>252</v>
      </c>
      <c r="G6" s="26">
        <v>184.5</v>
      </c>
      <c r="H6" s="10">
        <v>135.69999999999999</v>
      </c>
      <c r="I6" s="10">
        <v>151.19999999999999</v>
      </c>
      <c r="J6" s="25">
        <v>89.5</v>
      </c>
      <c r="K6" s="29">
        <f t="shared" si="3"/>
        <v>560.9</v>
      </c>
      <c r="L6" s="25">
        <f t="shared" ref="L6:L11" si="7">AVERAGE(G6:I6)</f>
        <v>157.13333333333333</v>
      </c>
      <c r="N6" s="29" t="str">
        <f t="shared" si="4"/>
        <v>C.3</v>
      </c>
      <c r="O6" s="7" t="str">
        <f t="shared" si="5"/>
        <v>Detailed Drilling in Non-CIL /Captive Mining Blocks</v>
      </c>
      <c r="P6" s="7" t="str">
        <f t="shared" si="0"/>
        <v>Direct and indirect transfer of funds and liabilities</v>
      </c>
      <c r="Q6" s="7" t="str">
        <f t="shared" si="1"/>
        <v>Production</v>
      </c>
      <c r="R6" s="28" t="str">
        <f t="shared" si="2"/>
        <v>Exploration, access and appraisal</v>
      </c>
      <c r="S6" s="59">
        <f>G6*'Exchange Rates'!$F$4*10</f>
        <v>30.497778290573926</v>
      </c>
      <c r="T6" s="2">
        <f>H6*'Exchange Rates'!$G$4*10</f>
        <v>22.192385248032963</v>
      </c>
      <c r="U6" s="2">
        <f>I6*'Exchange Rates'!$H$4*10</f>
        <v>23.09768702328553</v>
      </c>
      <c r="V6" s="51">
        <f>J6*'Exchange Rates'!$I$4*10</f>
        <v>13.340368700961092</v>
      </c>
      <c r="W6" s="30">
        <f t="shared" si="6"/>
        <v>89.128219262853506</v>
      </c>
      <c r="X6" s="25">
        <f t="shared" ref="X6:X11" si="8">AVERAGE(S6:U6)</f>
        <v>25.262616853964136</v>
      </c>
    </row>
    <row r="7" spans="2:24" s="11" customFormat="1" x14ac:dyDescent="0.25">
      <c r="B7" s="29" t="s">
        <v>162</v>
      </c>
      <c r="C7" s="7" t="s">
        <v>69</v>
      </c>
      <c r="D7" s="19" t="s">
        <v>178</v>
      </c>
      <c r="E7" s="6" t="s">
        <v>137</v>
      </c>
      <c r="F7" s="28" t="s">
        <v>252</v>
      </c>
      <c r="G7" s="26">
        <v>64</v>
      </c>
      <c r="H7" s="10">
        <v>58.8</v>
      </c>
      <c r="I7" s="10">
        <v>105.1</v>
      </c>
      <c r="J7" s="25">
        <v>50</v>
      </c>
      <c r="K7" s="29">
        <f t="shared" si="3"/>
        <v>277.89999999999998</v>
      </c>
      <c r="L7" s="25">
        <f t="shared" si="7"/>
        <v>75.966666666666654</v>
      </c>
      <c r="N7" s="29" t="str">
        <f t="shared" si="4"/>
        <v>C.4</v>
      </c>
      <c r="O7" s="7" t="str">
        <f t="shared" si="5"/>
        <v>Promotional (Regional) Exploration in Coal and Lignite</v>
      </c>
      <c r="P7" s="7" t="str">
        <f t="shared" si="0"/>
        <v>Direct and indirect transfer of funds and liabilities</v>
      </c>
      <c r="Q7" s="7" t="str">
        <f t="shared" si="1"/>
        <v>Production</v>
      </c>
      <c r="R7" s="28" t="str">
        <f t="shared" si="2"/>
        <v>Exploration, access and appraisal</v>
      </c>
      <c r="S7" s="59">
        <f>G7*'Exchange Rates'!$F$4*10</f>
        <v>10.579175125185536</v>
      </c>
      <c r="T7" s="2">
        <f>H7*'Exchange Rates'!$G$4*10</f>
        <v>9.6161551406362413</v>
      </c>
      <c r="U7" s="2">
        <f>I7*'Exchange Rates'!$H$4*10</f>
        <v>16.05533668086845</v>
      </c>
      <c r="V7" s="51">
        <f>J7*'Exchange Rates'!$I$4*10</f>
        <v>7.4527199446710002</v>
      </c>
      <c r="W7" s="30">
        <f t="shared" si="6"/>
        <v>43.703386891361234</v>
      </c>
      <c r="X7" s="25">
        <f t="shared" si="8"/>
        <v>12.083555648896743</v>
      </c>
    </row>
    <row r="8" spans="2:24" s="11" customFormat="1" x14ac:dyDescent="0.25">
      <c r="B8" s="29" t="s">
        <v>163</v>
      </c>
      <c r="C8" s="7" t="s">
        <v>70</v>
      </c>
      <c r="D8" s="19" t="s">
        <v>178</v>
      </c>
      <c r="E8" s="6" t="s">
        <v>137</v>
      </c>
      <c r="F8" s="28" t="s">
        <v>281</v>
      </c>
      <c r="G8" s="26">
        <v>22</v>
      </c>
      <c r="H8" s="10">
        <v>22.3</v>
      </c>
      <c r="I8" s="10">
        <v>22.4</v>
      </c>
      <c r="J8" s="25">
        <v>21</v>
      </c>
      <c r="K8" s="29">
        <f t="shared" si="3"/>
        <v>87.699999999999989</v>
      </c>
      <c r="L8" s="25">
        <f t="shared" si="7"/>
        <v>22.233333333333331</v>
      </c>
      <c r="N8" s="29" t="str">
        <f t="shared" si="4"/>
        <v>C.5</v>
      </c>
      <c r="O8" s="7" t="str">
        <f t="shared" si="5"/>
        <v xml:space="preserve">Coal Mines Pension Scheme </v>
      </c>
      <c r="P8" s="7" t="str">
        <f t="shared" si="0"/>
        <v>Direct and indirect transfer of funds and liabilities</v>
      </c>
      <c r="Q8" s="7" t="str">
        <f t="shared" si="1"/>
        <v>Production</v>
      </c>
      <c r="R8" s="28" t="str">
        <f t="shared" si="2"/>
        <v>Employees</v>
      </c>
      <c r="S8" s="59">
        <f>G8*'Exchange Rates'!$F$4*10</f>
        <v>3.6365914492825278</v>
      </c>
      <c r="T8" s="2">
        <f>H8*'Exchange Rates'!$G$4*10</f>
        <v>3.6469431910916366</v>
      </c>
      <c r="U8" s="2">
        <f>I8*'Exchange Rates'!$H$4*10</f>
        <v>3.4218795590052635</v>
      </c>
      <c r="V8" s="51">
        <f>J8*'Exchange Rates'!$I$4*10</f>
        <v>3.1301423767618202</v>
      </c>
      <c r="W8" s="30">
        <f t="shared" si="6"/>
        <v>13.835556576141247</v>
      </c>
      <c r="X8" s="25">
        <f t="shared" si="8"/>
        <v>3.5684713997931428</v>
      </c>
    </row>
    <row r="9" spans="2:24" s="11" customFormat="1" x14ac:dyDescent="0.25">
      <c r="B9" s="29" t="s">
        <v>164</v>
      </c>
      <c r="C9" s="7" t="s">
        <v>71</v>
      </c>
      <c r="D9" s="19" t="s">
        <v>178</v>
      </c>
      <c r="E9" s="6" t="s">
        <v>137</v>
      </c>
      <c r="F9" s="28" t="s">
        <v>279</v>
      </c>
      <c r="G9" s="26">
        <v>11.7</v>
      </c>
      <c r="H9" s="10">
        <v>18</v>
      </c>
      <c r="I9" s="10">
        <v>18</v>
      </c>
      <c r="J9" s="25">
        <v>10</v>
      </c>
      <c r="K9" s="29">
        <f t="shared" si="3"/>
        <v>57.7</v>
      </c>
      <c r="L9" s="25">
        <f t="shared" si="7"/>
        <v>15.9</v>
      </c>
      <c r="N9" s="29" t="str">
        <f t="shared" si="4"/>
        <v>C.6</v>
      </c>
      <c r="O9" s="7" t="str">
        <f t="shared" si="5"/>
        <v>Research and Development (R&amp;D) Programs in the Coal Sector</v>
      </c>
      <c r="P9" s="7" t="str">
        <f t="shared" si="0"/>
        <v>Direct and indirect transfer of funds and liabilities</v>
      </c>
      <c r="Q9" s="7" t="str">
        <f t="shared" si="1"/>
        <v>Production</v>
      </c>
      <c r="R9" s="28" t="str">
        <f t="shared" si="2"/>
        <v>Research</v>
      </c>
      <c r="S9" s="59">
        <f>G9*'Exchange Rates'!$F$4*10</f>
        <v>1.9340054525729808</v>
      </c>
      <c r="T9" s="2">
        <f>H9*'Exchange Rates'!$G$4*10</f>
        <v>2.9437209614192583</v>
      </c>
      <c r="U9" s="2">
        <f>I9*'Exchange Rates'!$H$4*10</f>
        <v>2.7497246456292301</v>
      </c>
      <c r="V9" s="51">
        <f>J9*'Exchange Rates'!$I$4*10</f>
        <v>1.4905439889342</v>
      </c>
      <c r="W9" s="30">
        <f t="shared" si="6"/>
        <v>9.1179950485556702</v>
      </c>
      <c r="X9" s="25">
        <f t="shared" si="8"/>
        <v>2.5424836865404896</v>
      </c>
    </row>
    <row r="10" spans="2:24" s="11" customFormat="1" x14ac:dyDescent="0.25">
      <c r="B10" s="29" t="s">
        <v>165</v>
      </c>
      <c r="C10" s="7" t="s">
        <v>72</v>
      </c>
      <c r="D10" s="19" t="s">
        <v>178</v>
      </c>
      <c r="E10" s="6" t="s">
        <v>137</v>
      </c>
      <c r="F10" s="28" t="s">
        <v>308</v>
      </c>
      <c r="G10" s="26" t="s">
        <v>27</v>
      </c>
      <c r="H10" s="10" t="s">
        <v>27</v>
      </c>
      <c r="I10" s="10" t="s">
        <v>27</v>
      </c>
      <c r="J10" s="25" t="s">
        <v>27</v>
      </c>
      <c r="K10" s="29">
        <f t="shared" si="3"/>
        <v>0</v>
      </c>
      <c r="L10" s="64" t="s">
        <v>22</v>
      </c>
      <c r="N10" s="29" t="str">
        <f t="shared" si="4"/>
        <v>C.7</v>
      </c>
      <c r="O10" s="7" t="str">
        <f t="shared" si="5"/>
        <v>Credit support from Multilateral organisations</v>
      </c>
      <c r="P10" s="7" t="str">
        <f t="shared" si="0"/>
        <v>Direct and indirect transfer of funds and liabilities</v>
      </c>
      <c r="Q10" s="7" t="str">
        <f t="shared" si="1"/>
        <v>Production</v>
      </c>
      <c r="R10" s="28" t="str">
        <f t="shared" si="2"/>
        <v>Cross-cutting through the value chain</v>
      </c>
      <c r="S10" s="238" t="s">
        <v>27</v>
      </c>
      <c r="T10" s="239" t="s">
        <v>27</v>
      </c>
      <c r="U10" s="239" t="s">
        <v>27</v>
      </c>
      <c r="V10" s="240" t="s">
        <v>27</v>
      </c>
      <c r="W10" s="30">
        <f t="shared" si="6"/>
        <v>0</v>
      </c>
      <c r="X10" s="64" t="s">
        <v>22</v>
      </c>
    </row>
    <row r="11" spans="2:24" s="11" customFormat="1" x14ac:dyDescent="0.25">
      <c r="B11" s="29" t="s">
        <v>166</v>
      </c>
      <c r="C11" s="7" t="s">
        <v>74</v>
      </c>
      <c r="D11" s="19" t="s">
        <v>178</v>
      </c>
      <c r="E11" s="6" t="s">
        <v>137</v>
      </c>
      <c r="F11" s="28" t="s">
        <v>280</v>
      </c>
      <c r="G11" s="26">
        <f>1</f>
        <v>1</v>
      </c>
      <c r="H11" s="10">
        <f>0.5</f>
        <v>0.5</v>
      </c>
      <c r="I11" s="10">
        <f>0.5</f>
        <v>0.5</v>
      </c>
      <c r="J11" s="25">
        <f>0.5</f>
        <v>0.5</v>
      </c>
      <c r="K11" s="29">
        <f t="shared" si="3"/>
        <v>2.5</v>
      </c>
      <c r="L11" s="25">
        <f t="shared" si="7"/>
        <v>0.66666666666666663</v>
      </c>
      <c r="N11" s="29" t="str">
        <f t="shared" si="4"/>
        <v>C.8</v>
      </c>
      <c r="O11" s="7" t="str">
        <f t="shared" si="5"/>
        <v>Environmental Measures and Subsidence Control</v>
      </c>
      <c r="P11" s="7" t="str">
        <f t="shared" si="0"/>
        <v>Direct and indirect transfer of funds and liabilities</v>
      </c>
      <c r="Q11" s="7" t="str">
        <f t="shared" si="1"/>
        <v>Production</v>
      </c>
      <c r="R11" s="28" t="str">
        <f t="shared" si="2"/>
        <v>Environment &amp; Social Rehabitlation</v>
      </c>
      <c r="S11" s="59">
        <f>G11*'Exchange Rates'!$F$4*10</f>
        <v>0.165299611331024</v>
      </c>
      <c r="T11" s="2">
        <f>H11*'Exchange Rates'!$G$4*10</f>
        <v>8.1770026706090501E-2</v>
      </c>
      <c r="U11" s="2">
        <f>I11*'Exchange Rates'!$H$4*10</f>
        <v>7.6381240156367505E-2</v>
      </c>
      <c r="V11" s="51">
        <f>J11*'Exchange Rates'!$I$4*10</f>
        <v>7.4527199446710005E-2</v>
      </c>
      <c r="W11" s="30">
        <f t="shared" si="6"/>
        <v>0.397978077640192</v>
      </c>
      <c r="X11" s="25">
        <f t="shared" si="8"/>
        <v>0.10781695939782733</v>
      </c>
    </row>
    <row r="12" spans="2:24" s="11" customFormat="1" ht="13.5" customHeight="1" x14ac:dyDescent="0.25">
      <c r="B12" s="29" t="s">
        <v>167</v>
      </c>
      <c r="C12" s="7" t="s">
        <v>133</v>
      </c>
      <c r="D12" s="19" t="s">
        <v>178</v>
      </c>
      <c r="E12" s="19" t="s">
        <v>271</v>
      </c>
      <c r="F12" s="28" t="s">
        <v>282</v>
      </c>
      <c r="G12" s="26" t="s">
        <v>27</v>
      </c>
      <c r="H12" s="10" t="s">
        <v>27</v>
      </c>
      <c r="I12" s="10" t="s">
        <v>27</v>
      </c>
      <c r="J12" s="25" t="s">
        <v>27</v>
      </c>
      <c r="K12" s="29" t="s">
        <v>22</v>
      </c>
      <c r="L12" s="64" t="s">
        <v>22</v>
      </c>
      <c r="N12" s="29" t="str">
        <f t="shared" si="4"/>
        <v>C.9</v>
      </c>
      <c r="O12" s="7" t="str">
        <f t="shared" si="5"/>
        <v>Low interest rate loans for power plants</v>
      </c>
      <c r="P12" s="7" t="str">
        <f t="shared" si="0"/>
        <v>Direct and indirect transfer of funds and liabilities</v>
      </c>
      <c r="Q12" s="7" t="str">
        <f t="shared" si="1"/>
        <v>Production and Consumption</v>
      </c>
      <c r="R12" s="28" t="str">
        <f t="shared" si="2"/>
        <v xml:space="preserve">Power plant </v>
      </c>
      <c r="S12" s="166" t="s">
        <v>27</v>
      </c>
      <c r="T12" s="10" t="s">
        <v>27</v>
      </c>
      <c r="U12" s="10" t="s">
        <v>27</v>
      </c>
      <c r="V12" s="25" t="s">
        <v>27</v>
      </c>
      <c r="W12" s="30" t="s">
        <v>22</v>
      </c>
      <c r="X12" s="64" t="s">
        <v>22</v>
      </c>
    </row>
    <row r="13" spans="2:24" s="11" customFormat="1" x14ac:dyDescent="0.25">
      <c r="B13" s="29" t="s">
        <v>168</v>
      </c>
      <c r="C13" s="12" t="s">
        <v>75</v>
      </c>
      <c r="D13" s="12" t="s">
        <v>25</v>
      </c>
      <c r="E13" s="6" t="s">
        <v>138</v>
      </c>
      <c r="F13" s="27" t="s">
        <v>273</v>
      </c>
      <c r="G13" s="26">
        <v>7991</v>
      </c>
      <c r="H13" s="10">
        <v>7839</v>
      </c>
      <c r="I13" s="10">
        <v>6452</v>
      </c>
      <c r="J13" s="25">
        <v>6688</v>
      </c>
      <c r="K13" s="29">
        <f t="shared" si="3"/>
        <v>28970</v>
      </c>
      <c r="L13" s="25">
        <f t="shared" ref="L13:L15" si="9">AVERAGE(G13:I13)</f>
        <v>7427.333333333333</v>
      </c>
      <c r="N13" s="29" t="str">
        <f t="shared" si="4"/>
        <v>C.10</v>
      </c>
      <c r="O13" s="7" t="str">
        <f t="shared" si="5"/>
        <v xml:space="preserve">Concessional Custom Duty Rates on import of Coal </v>
      </c>
      <c r="P13" s="7" t="str">
        <f t="shared" si="0"/>
        <v>Government revenue foregone</v>
      </c>
      <c r="Q13" s="7" t="str">
        <f t="shared" si="1"/>
        <v>Consumption</v>
      </c>
      <c r="R13" s="28" t="str">
        <f t="shared" si="2"/>
        <v>Consumers</v>
      </c>
      <c r="S13" s="59">
        <f>G13*'Exchange Rates'!$F$4*10</f>
        <v>1320.9091941462129</v>
      </c>
      <c r="T13" s="2">
        <f>H13*'Exchange Rates'!$G$4*10</f>
        <v>1281.9904786980869</v>
      </c>
      <c r="U13" s="2">
        <f>I13*'Exchange Rates'!$H$4*10</f>
        <v>985.62352297776624</v>
      </c>
      <c r="V13" s="51">
        <f>J13*'Exchange Rates'!$I$4*10</f>
        <v>996.87581979919298</v>
      </c>
      <c r="W13" s="30">
        <f t="shared" si="6"/>
        <v>4585.3990156212594</v>
      </c>
      <c r="X13" s="25">
        <f t="shared" ref="X13:X15" si="10">AVERAGE(S13:U13)</f>
        <v>1196.1743986073554</v>
      </c>
    </row>
    <row r="14" spans="2:24" s="11" customFormat="1" x14ac:dyDescent="0.25">
      <c r="B14" s="29" t="s">
        <v>169</v>
      </c>
      <c r="C14" s="12" t="s">
        <v>76</v>
      </c>
      <c r="D14" s="12" t="s">
        <v>25</v>
      </c>
      <c r="E14" s="6" t="s">
        <v>137</v>
      </c>
      <c r="F14" s="27" t="s">
        <v>273</v>
      </c>
      <c r="G14" s="26">
        <v>6215</v>
      </c>
      <c r="H14" s="10">
        <v>6526</v>
      </c>
      <c r="I14" s="10">
        <v>6886</v>
      </c>
      <c r="J14" s="25" t="s">
        <v>73</v>
      </c>
      <c r="K14" s="29">
        <f t="shared" si="3"/>
        <v>19627</v>
      </c>
      <c r="L14" s="25">
        <f t="shared" si="9"/>
        <v>6542.333333333333</v>
      </c>
      <c r="N14" s="29" t="str">
        <f t="shared" si="4"/>
        <v>C.11</v>
      </c>
      <c r="O14" s="7" t="str">
        <f t="shared" si="5"/>
        <v>Concessional Excise Duty Rates on Coal Production</v>
      </c>
      <c r="P14" s="7" t="str">
        <f t="shared" si="0"/>
        <v>Government revenue foregone</v>
      </c>
      <c r="Q14" s="7" t="str">
        <f t="shared" si="1"/>
        <v>Production</v>
      </c>
      <c r="R14" s="28" t="str">
        <f t="shared" si="2"/>
        <v>Consumers</v>
      </c>
      <c r="S14" s="59">
        <f>G14*'Exchange Rates'!$F$4*10</f>
        <v>1027.3370844223141</v>
      </c>
      <c r="T14" s="2">
        <f>H14*'Exchange Rates'!$G$4*10</f>
        <v>1067.2623885678931</v>
      </c>
      <c r="U14" s="2">
        <f>I14*'Exchange Rates'!$H$4*10</f>
        <v>1051.9224394334933</v>
      </c>
      <c r="V14" s="25" t="s">
        <v>40</v>
      </c>
      <c r="W14" s="30">
        <f t="shared" si="6"/>
        <v>3146.5219124237005</v>
      </c>
      <c r="X14" s="25">
        <f t="shared" si="10"/>
        <v>1048.8406374745668</v>
      </c>
    </row>
    <row r="15" spans="2:24" s="11" customFormat="1" x14ac:dyDescent="0.25">
      <c r="B15" s="29" t="s">
        <v>170</v>
      </c>
      <c r="C15" s="12" t="s">
        <v>77</v>
      </c>
      <c r="D15" s="12" t="s">
        <v>25</v>
      </c>
      <c r="E15" s="6" t="s">
        <v>137</v>
      </c>
      <c r="F15" s="27" t="s">
        <v>251</v>
      </c>
      <c r="G15" s="26">
        <v>46</v>
      </c>
      <c r="H15" s="10">
        <v>59</v>
      </c>
      <c r="I15" s="10">
        <v>35</v>
      </c>
      <c r="J15" s="25" t="s">
        <v>13</v>
      </c>
      <c r="K15" s="29">
        <f t="shared" si="3"/>
        <v>140</v>
      </c>
      <c r="L15" s="25">
        <f t="shared" si="9"/>
        <v>46.666666666666664</v>
      </c>
      <c r="N15" s="29" t="str">
        <f t="shared" si="4"/>
        <v>C.12</v>
      </c>
      <c r="O15" s="7" t="str">
        <f t="shared" si="5"/>
        <v>Concessional Duty Rebates on Coal Mining Equipment</v>
      </c>
      <c r="P15" s="7" t="str">
        <f t="shared" si="0"/>
        <v>Government revenue foregone</v>
      </c>
      <c r="Q15" s="7" t="str">
        <f t="shared" si="1"/>
        <v>Production</v>
      </c>
      <c r="R15" s="28" t="str">
        <f t="shared" si="2"/>
        <v>Development, extraction and preparation</v>
      </c>
      <c r="S15" s="59">
        <f>G15*'Exchange Rates'!$F$4*10</f>
        <v>7.6037821212271037</v>
      </c>
      <c r="T15" s="2">
        <f>H15*'Exchange Rates'!$G$4*10</f>
        <v>9.6488631513186789</v>
      </c>
      <c r="U15" s="2">
        <f>I15*'Exchange Rates'!$H$4*10</f>
        <v>5.3466868109457257</v>
      </c>
      <c r="V15" s="25" t="s">
        <v>40</v>
      </c>
      <c r="W15" s="30">
        <f t="shared" si="6"/>
        <v>22.599332083491511</v>
      </c>
      <c r="X15" s="25">
        <f t="shared" si="10"/>
        <v>7.5331106944971706</v>
      </c>
    </row>
    <row r="16" spans="2:24" s="11" customFormat="1" x14ac:dyDescent="0.25">
      <c r="B16" s="29" t="s">
        <v>171</v>
      </c>
      <c r="C16" s="12" t="s">
        <v>136</v>
      </c>
      <c r="D16" s="12" t="s">
        <v>25</v>
      </c>
      <c r="E16" s="19" t="s">
        <v>271</v>
      </c>
      <c r="F16" s="27" t="s">
        <v>282</v>
      </c>
      <c r="G16" s="26" t="s">
        <v>27</v>
      </c>
      <c r="H16" s="10" t="s">
        <v>27</v>
      </c>
      <c r="I16" s="10" t="s">
        <v>27</v>
      </c>
      <c r="J16" s="25" t="s">
        <v>27</v>
      </c>
      <c r="K16" s="29" t="s">
        <v>22</v>
      </c>
      <c r="L16" s="64" t="s">
        <v>22</v>
      </c>
      <c r="N16" s="29" t="str">
        <f t="shared" si="4"/>
        <v>C.13</v>
      </c>
      <c r="O16" s="7" t="str">
        <f t="shared" si="5"/>
        <v>Income Tax exemption for the generation of power</v>
      </c>
      <c r="P16" s="7" t="str">
        <f t="shared" si="0"/>
        <v>Government revenue foregone</v>
      </c>
      <c r="Q16" s="7" t="str">
        <f t="shared" si="1"/>
        <v>Production and Consumption</v>
      </c>
      <c r="R16" s="28" t="str">
        <f t="shared" si="2"/>
        <v xml:space="preserve">Power plant </v>
      </c>
      <c r="S16" s="166" t="s">
        <v>27</v>
      </c>
      <c r="T16" s="10" t="s">
        <v>27</v>
      </c>
      <c r="U16" s="10" t="s">
        <v>27</v>
      </c>
      <c r="V16" s="25" t="s">
        <v>27</v>
      </c>
      <c r="W16" s="30" t="s">
        <v>22</v>
      </c>
      <c r="X16" s="64" t="s">
        <v>22</v>
      </c>
    </row>
    <row r="17" spans="2:24" s="11" customFormat="1" x14ac:dyDescent="0.25">
      <c r="B17" s="29" t="s">
        <v>172</v>
      </c>
      <c r="C17" s="7" t="s">
        <v>78</v>
      </c>
      <c r="D17" s="7" t="s">
        <v>35</v>
      </c>
      <c r="E17" s="19" t="s">
        <v>271</v>
      </c>
      <c r="F17" s="28" t="s">
        <v>283</v>
      </c>
      <c r="G17" s="26" t="s">
        <v>27</v>
      </c>
      <c r="H17" s="10" t="s">
        <v>27</v>
      </c>
      <c r="I17" s="10" t="s">
        <v>27</v>
      </c>
      <c r="J17" s="25" t="s">
        <v>27</v>
      </c>
      <c r="K17" s="29" t="s">
        <v>22</v>
      </c>
      <c r="L17" s="64" t="s">
        <v>22</v>
      </c>
      <c r="N17" s="29" t="str">
        <f t="shared" si="4"/>
        <v>C.14</v>
      </c>
      <c r="O17" s="7" t="str">
        <f t="shared" si="5"/>
        <v>Concessional rates Railway Freight for long distance Coal Transportation</v>
      </c>
      <c r="P17" s="7" t="str">
        <f t="shared" si="0"/>
        <v>Provision of goods or services below market value</v>
      </c>
      <c r="Q17" s="7" t="str">
        <f t="shared" si="1"/>
        <v>Production and Consumption</v>
      </c>
      <c r="R17" s="28" t="str">
        <f t="shared" si="2"/>
        <v xml:space="preserve">Storage &amp; Transport </v>
      </c>
      <c r="S17" s="166" t="s">
        <v>27</v>
      </c>
      <c r="T17" s="10" t="s">
        <v>27</v>
      </c>
      <c r="U17" s="10" t="s">
        <v>27</v>
      </c>
      <c r="V17" s="25" t="s">
        <v>27</v>
      </c>
      <c r="W17" s="30" t="s">
        <v>22</v>
      </c>
      <c r="X17" s="64" t="s">
        <v>22</v>
      </c>
    </row>
    <row r="18" spans="2:24" s="11" customFormat="1" x14ac:dyDescent="0.25">
      <c r="B18" s="29" t="s">
        <v>173</v>
      </c>
      <c r="C18" s="7" t="s">
        <v>79</v>
      </c>
      <c r="D18" s="7" t="s">
        <v>35</v>
      </c>
      <c r="E18" s="6" t="s">
        <v>137</v>
      </c>
      <c r="F18" s="28" t="s">
        <v>252</v>
      </c>
      <c r="G18" s="26" t="s">
        <v>80</v>
      </c>
      <c r="H18" s="10" t="s">
        <v>31</v>
      </c>
      <c r="I18" s="10" t="s">
        <v>31</v>
      </c>
      <c r="J18" s="25" t="s">
        <v>31</v>
      </c>
      <c r="K18" s="29" t="s">
        <v>22</v>
      </c>
      <c r="L18" s="64" t="s">
        <v>22</v>
      </c>
      <c r="N18" s="29" t="str">
        <f t="shared" si="4"/>
        <v>C.15</v>
      </c>
      <c r="O18" s="7" t="str">
        <f t="shared" si="5"/>
        <v>Government Revenue Foregone from coal distribution through MoU route (rather than competitive bidding route)</v>
      </c>
      <c r="P18" s="7" t="str">
        <f t="shared" si="0"/>
        <v>Provision of goods or services below market value</v>
      </c>
      <c r="Q18" s="7" t="str">
        <f t="shared" si="1"/>
        <v>Production</v>
      </c>
      <c r="R18" s="28" t="str">
        <f t="shared" si="2"/>
        <v>Exploration, access and appraisal</v>
      </c>
      <c r="S18" s="166" t="s">
        <v>80</v>
      </c>
      <c r="T18" s="10" t="s">
        <v>31</v>
      </c>
      <c r="U18" s="10" t="s">
        <v>31</v>
      </c>
      <c r="V18" s="25" t="s">
        <v>31</v>
      </c>
      <c r="W18" s="30" t="s">
        <v>22</v>
      </c>
      <c r="X18" s="64" t="s">
        <v>22</v>
      </c>
    </row>
    <row r="19" spans="2:24" s="11" customFormat="1" x14ac:dyDescent="0.25">
      <c r="B19" s="29" t="s">
        <v>174</v>
      </c>
      <c r="C19" s="7" t="s">
        <v>135</v>
      </c>
      <c r="D19" s="7" t="s">
        <v>35</v>
      </c>
      <c r="E19" s="6" t="s">
        <v>137</v>
      </c>
      <c r="F19" s="28" t="s">
        <v>252</v>
      </c>
      <c r="G19" s="26" t="s">
        <v>27</v>
      </c>
      <c r="H19" s="10" t="s">
        <v>27</v>
      </c>
      <c r="I19" s="10" t="s">
        <v>27</v>
      </c>
      <c r="J19" s="25" t="s">
        <v>27</v>
      </c>
      <c r="K19" s="29" t="s">
        <v>22</v>
      </c>
      <c r="L19" s="64" t="s">
        <v>22</v>
      </c>
      <c r="N19" s="29" t="str">
        <f t="shared" si="4"/>
        <v>C.16</v>
      </c>
      <c r="O19" s="7" t="str">
        <f t="shared" si="5"/>
        <v>Compensation for land acquired for coal mining purposes</v>
      </c>
      <c r="P19" s="7" t="str">
        <f t="shared" si="0"/>
        <v>Provision of goods or services below market value</v>
      </c>
      <c r="Q19" s="7" t="str">
        <f t="shared" si="1"/>
        <v>Production</v>
      </c>
      <c r="R19" s="28" t="str">
        <f t="shared" si="2"/>
        <v>Exploration, access and appraisal</v>
      </c>
      <c r="S19" s="166" t="s">
        <v>27</v>
      </c>
      <c r="T19" s="10" t="s">
        <v>27</v>
      </c>
      <c r="U19" s="10" t="s">
        <v>27</v>
      </c>
      <c r="V19" s="25" t="s">
        <v>27</v>
      </c>
      <c r="W19" s="30" t="s">
        <v>22</v>
      </c>
      <c r="X19" s="64" t="s">
        <v>22</v>
      </c>
    </row>
    <row r="20" spans="2:24" s="11" customFormat="1" x14ac:dyDescent="0.25">
      <c r="B20" s="29" t="s">
        <v>175</v>
      </c>
      <c r="C20" s="12" t="s">
        <v>81</v>
      </c>
      <c r="D20" s="12" t="s">
        <v>37</v>
      </c>
      <c r="E20" s="6" t="s">
        <v>137</v>
      </c>
      <c r="F20" s="27" t="s">
        <v>308</v>
      </c>
      <c r="G20" s="26" t="s">
        <v>82</v>
      </c>
      <c r="H20" s="10" t="s">
        <v>82</v>
      </c>
      <c r="I20" s="10" t="s">
        <v>82</v>
      </c>
      <c r="J20" s="25" t="s">
        <v>82</v>
      </c>
      <c r="K20" s="29" t="s">
        <v>22</v>
      </c>
      <c r="L20" s="64" t="s">
        <v>22</v>
      </c>
      <c r="N20" s="29" t="str">
        <f t="shared" si="4"/>
        <v>C.17</v>
      </c>
      <c r="O20" s="7" t="str">
        <f t="shared" si="5"/>
        <v>Lack of regulator in Coal Sector</v>
      </c>
      <c r="P20" s="7" t="str">
        <f t="shared" si="0"/>
        <v>Income or price support</v>
      </c>
      <c r="Q20" s="7" t="str">
        <f t="shared" si="1"/>
        <v>Production</v>
      </c>
      <c r="R20" s="28" t="str">
        <f t="shared" si="2"/>
        <v>Cross-cutting through the value chain</v>
      </c>
      <c r="S20" s="166" t="s">
        <v>82</v>
      </c>
      <c r="T20" s="10" t="s">
        <v>82</v>
      </c>
      <c r="U20" s="10" t="s">
        <v>82</v>
      </c>
      <c r="V20" s="25" t="s">
        <v>82</v>
      </c>
      <c r="W20" s="30" t="s">
        <v>22</v>
      </c>
      <c r="X20" s="64" t="s">
        <v>22</v>
      </c>
    </row>
    <row r="21" spans="2:24" s="11" customFormat="1" ht="13.8" thickBot="1" x14ac:dyDescent="0.3">
      <c r="B21" s="73" t="s">
        <v>176</v>
      </c>
      <c r="C21" s="74" t="s">
        <v>132</v>
      </c>
      <c r="D21" s="74" t="s">
        <v>37</v>
      </c>
      <c r="E21" s="6" t="s">
        <v>138</v>
      </c>
      <c r="F21" s="122" t="s">
        <v>273</v>
      </c>
      <c r="G21" s="75" t="s">
        <v>82</v>
      </c>
      <c r="H21" s="76" t="s">
        <v>82</v>
      </c>
      <c r="I21" s="76" t="s">
        <v>82</v>
      </c>
      <c r="J21" s="77" t="s">
        <v>82</v>
      </c>
      <c r="K21" s="73" t="s">
        <v>22</v>
      </c>
      <c r="L21" s="79" t="s">
        <v>22</v>
      </c>
      <c r="N21" s="179" t="str">
        <f t="shared" si="4"/>
        <v>C.18</v>
      </c>
      <c r="O21" s="180" t="str">
        <f t="shared" si="5"/>
        <v>Pricing of Coal</v>
      </c>
      <c r="P21" s="180" t="str">
        <f t="shared" si="0"/>
        <v>Income or price support</v>
      </c>
      <c r="Q21" s="180" t="str">
        <f t="shared" si="1"/>
        <v>Consumption</v>
      </c>
      <c r="R21" s="181" t="str">
        <f t="shared" si="2"/>
        <v>Consumers</v>
      </c>
      <c r="S21" s="176" t="s">
        <v>82</v>
      </c>
      <c r="T21" s="145" t="s">
        <v>82</v>
      </c>
      <c r="U21" s="145" t="s">
        <v>82</v>
      </c>
      <c r="V21" s="146" t="s">
        <v>82</v>
      </c>
      <c r="W21" s="78" t="s">
        <v>22</v>
      </c>
      <c r="X21" s="79" t="s">
        <v>22</v>
      </c>
    </row>
    <row r="22" spans="2:24" s="11" customFormat="1" ht="13.8" thickBot="1" x14ac:dyDescent="0.3">
      <c r="B22" s="81"/>
      <c r="C22" s="80" t="s">
        <v>1</v>
      </c>
      <c r="D22" s="80"/>
      <c r="E22" s="80"/>
      <c r="F22" s="82"/>
      <c r="G22" s="81">
        <f t="shared" ref="G22:L22" si="11">SUM(G4:G21)</f>
        <v>15791.760295159842</v>
      </c>
      <c r="H22" s="80">
        <f t="shared" si="11"/>
        <v>15963.0976156386</v>
      </c>
      <c r="I22" s="80">
        <f t="shared" si="11"/>
        <v>14979.361756878445</v>
      </c>
      <c r="J22" s="82">
        <f t="shared" si="11"/>
        <v>8312.9171786688439</v>
      </c>
      <c r="K22" s="81">
        <f t="shared" si="11"/>
        <v>55047.136846345733</v>
      </c>
      <c r="L22" s="82">
        <f t="shared" si="11"/>
        <v>15578.073222558962</v>
      </c>
      <c r="N22" s="174"/>
      <c r="O22" s="177" t="s">
        <v>1</v>
      </c>
      <c r="P22" s="177"/>
      <c r="Q22" s="177"/>
      <c r="R22" s="178"/>
      <c r="S22" s="81">
        <f t="shared" ref="S22:X22" si="12">SUM(S4:S21)</f>
        <v>2610.371839022619</v>
      </c>
      <c r="T22" s="80">
        <f t="shared" si="12"/>
        <v>2610.6058366853963</v>
      </c>
      <c r="U22" s="80">
        <f t="shared" si="12"/>
        <v>2288.2844554824792</v>
      </c>
      <c r="V22" s="82">
        <f t="shared" si="12"/>
        <v>1239.0768731172695</v>
      </c>
      <c r="W22" s="83">
        <f t="shared" si="12"/>
        <v>8748.3390043077634</v>
      </c>
      <c r="X22" s="82">
        <f t="shared" si="12"/>
        <v>2503.0873770634985</v>
      </c>
    </row>
    <row r="23" spans="2:24" x14ac:dyDescent="0.25">
      <c r="F23" s="11"/>
      <c r="G23" s="13"/>
      <c r="H23" s="13"/>
      <c r="I23" s="13"/>
    </row>
    <row r="24" spans="2:24" ht="13.8" thickBot="1" x14ac:dyDescent="0.3">
      <c r="B24" s="5" t="s">
        <v>323</v>
      </c>
      <c r="F24" s="11"/>
      <c r="N24" s="5" t="s">
        <v>324</v>
      </c>
    </row>
    <row r="25" spans="2:24" ht="13.8" thickBot="1" x14ac:dyDescent="0.3">
      <c r="B25" s="46" t="s">
        <v>2</v>
      </c>
      <c r="C25" s="48" t="s">
        <v>3</v>
      </c>
      <c r="D25" s="48" t="s">
        <v>310</v>
      </c>
      <c r="E25" s="48" t="s">
        <v>311</v>
      </c>
      <c r="F25" s="237" t="s">
        <v>312</v>
      </c>
      <c r="G25" s="46" t="s">
        <v>4</v>
      </c>
      <c r="H25" s="48" t="s">
        <v>5</v>
      </c>
      <c r="I25" s="48" t="s">
        <v>6</v>
      </c>
      <c r="J25" s="47" t="s">
        <v>7</v>
      </c>
      <c r="K25" s="70" t="s">
        <v>1</v>
      </c>
      <c r="L25" s="47" t="s">
        <v>309</v>
      </c>
      <c r="N25" s="53" t="s">
        <v>2</v>
      </c>
      <c r="O25" s="57" t="s">
        <v>3</v>
      </c>
      <c r="P25" s="48" t="s">
        <v>310</v>
      </c>
      <c r="Q25" s="48" t="s">
        <v>311</v>
      </c>
      <c r="R25" s="48" t="s">
        <v>312</v>
      </c>
      <c r="S25" s="46" t="s">
        <v>4</v>
      </c>
      <c r="T25" s="48" t="s">
        <v>5</v>
      </c>
      <c r="U25" s="48" t="s">
        <v>6</v>
      </c>
      <c r="V25" s="47" t="s">
        <v>7</v>
      </c>
      <c r="W25" s="72" t="s">
        <v>1</v>
      </c>
      <c r="X25" s="47" t="s">
        <v>309</v>
      </c>
    </row>
    <row r="26" spans="2:24" ht="13.8" thickBot="1" x14ac:dyDescent="0.3">
      <c r="B26" s="124" t="s">
        <v>177</v>
      </c>
      <c r="C26" s="123" t="s">
        <v>83</v>
      </c>
      <c r="D26" s="123" t="s">
        <v>25</v>
      </c>
      <c r="E26" s="6" t="s">
        <v>138</v>
      </c>
      <c r="F26" s="27" t="s">
        <v>273</v>
      </c>
      <c r="G26" s="125">
        <v>1127</v>
      </c>
      <c r="H26" s="126">
        <v>1416</v>
      </c>
      <c r="I26" s="126">
        <v>1590</v>
      </c>
      <c r="J26" s="127" t="s">
        <v>9</v>
      </c>
      <c r="K26" s="128">
        <f>SUM(G26:J26)</f>
        <v>4133</v>
      </c>
      <c r="L26" s="25">
        <f>AVERAGE(G26:I26)</f>
        <v>1377.6666666666667</v>
      </c>
      <c r="N26" s="124" t="str">
        <f>B26</f>
        <v>C.19</v>
      </c>
      <c r="O26" s="65" t="str">
        <f t="shared" ref="O26:R26" si="13">C26</f>
        <v>Lower Value Added Tax (VAT) Rates on sale of coal in state of Chhattisgarh</v>
      </c>
      <c r="P26" s="65" t="str">
        <f t="shared" si="13"/>
        <v>Government revenue foregone</v>
      </c>
      <c r="Q26" s="65" t="str">
        <f t="shared" si="13"/>
        <v>Consumption</v>
      </c>
      <c r="R26" s="65" t="str">
        <f t="shared" si="13"/>
        <v>Consumers</v>
      </c>
      <c r="S26" s="71">
        <f>G26*'Exchange Rates'!$F$4*10</f>
        <v>186.29266197006405</v>
      </c>
      <c r="T26" s="147">
        <f>H26*'Exchange Rates'!$G$4*10</f>
        <v>231.57271563164829</v>
      </c>
      <c r="U26" s="147">
        <f>I26*'Exchange Rates'!$H$4*10</f>
        <v>242.89234369724866</v>
      </c>
      <c r="V26" s="144" t="s">
        <v>9</v>
      </c>
      <c r="W26" s="31">
        <f>SUM(S26:V26)</f>
        <v>660.75772129896097</v>
      </c>
      <c r="X26" s="25">
        <f>AVERAGE(S26:U26)</f>
        <v>220.25257376632032</v>
      </c>
    </row>
    <row r="27" spans="2:24" ht="13.8" thickBot="1" x14ac:dyDescent="0.3">
      <c r="B27" s="32"/>
      <c r="C27" s="36" t="s">
        <v>1</v>
      </c>
      <c r="D27" s="36"/>
      <c r="E27" s="36"/>
      <c r="F27" s="35"/>
      <c r="G27" s="32">
        <f>SUM(G26)</f>
        <v>1127</v>
      </c>
      <c r="H27" s="36">
        <f t="shared" ref="H27:L27" si="14">SUM(H26)</f>
        <v>1416</v>
      </c>
      <c r="I27" s="36">
        <f t="shared" si="14"/>
        <v>1590</v>
      </c>
      <c r="J27" s="35">
        <f t="shared" si="14"/>
        <v>0</v>
      </c>
      <c r="K27" s="34">
        <f t="shared" si="14"/>
        <v>4133</v>
      </c>
      <c r="L27" s="35">
        <f t="shared" si="14"/>
        <v>1377.6666666666667</v>
      </c>
      <c r="N27" s="32"/>
      <c r="O27" s="36" t="s">
        <v>1</v>
      </c>
      <c r="P27" s="36"/>
      <c r="Q27" s="36"/>
      <c r="R27" s="35"/>
      <c r="S27" s="32">
        <f>SUM(S26)</f>
        <v>186.29266197006405</v>
      </c>
      <c r="T27" s="36">
        <f t="shared" ref="T27:X27" si="15">SUM(T26)</f>
        <v>231.57271563164829</v>
      </c>
      <c r="U27" s="36">
        <f t="shared" si="15"/>
        <v>242.89234369724866</v>
      </c>
      <c r="V27" s="35">
        <f t="shared" si="15"/>
        <v>0</v>
      </c>
      <c r="W27" s="34">
        <f t="shared" si="15"/>
        <v>660.75772129896097</v>
      </c>
      <c r="X27" s="35">
        <f t="shared" si="15"/>
        <v>220.25257376632032</v>
      </c>
    </row>
    <row r="28" spans="2:24" ht="13.5" customHeight="1" x14ac:dyDescent="0.25"/>
    <row r="31" spans="2:24" x14ac:dyDescent="0.25">
      <c r="I31" s="192"/>
    </row>
    <row r="32" spans="2:24" x14ac:dyDescent="0.25">
      <c r="I32" s="192"/>
    </row>
  </sheetData>
  <pageMargins left="0.7" right="0.7" top="0.75" bottom="0.75" header="0.3" footer="0.3"/>
  <pageSetup paperSize="9" orientation="portrait" horizontalDpi="4294967292" verticalDpi="4294967292" r:id="rId1"/>
  <ignoredErrors>
    <ignoredError sqref="W10" formula="1"/>
    <ignoredError sqref="L4:L9 L26 L11:L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J255"/>
  <sheetViews>
    <sheetView topLeftCell="A12" zoomScale="95" zoomScaleNormal="95" zoomScalePageLayoutView="70" workbookViewId="0">
      <selection activeCell="C26" sqref="C26"/>
    </sheetView>
  </sheetViews>
  <sheetFormatPr defaultColWidth="8.88671875" defaultRowHeight="13.2" x14ac:dyDescent="0.25"/>
  <cols>
    <col min="1" max="1" width="4.44140625" style="14" customWidth="1"/>
    <col min="2" max="2" width="6" style="16" customWidth="1"/>
    <col min="3" max="3" width="32.44140625" style="14" customWidth="1"/>
    <col min="4" max="4" width="11.109375" style="14" customWidth="1"/>
    <col min="5" max="5" width="11.6640625" style="14" customWidth="1"/>
    <col min="6" max="6" width="10.44140625" style="14" customWidth="1"/>
    <col min="7" max="10" width="10.109375" style="16" customWidth="1"/>
    <col min="11" max="11" width="10.109375" style="17" customWidth="1"/>
    <col min="12" max="12" width="13.109375" style="16" customWidth="1"/>
    <col min="13" max="13" width="8.33203125" style="14" bestFit="1" customWidth="1"/>
    <col min="14" max="14" width="6" style="246" customWidth="1"/>
    <col min="15" max="15" width="32.44140625" style="14" customWidth="1"/>
    <col min="16" max="16" width="12.44140625" style="14" customWidth="1"/>
    <col min="17" max="18" width="11.6640625" style="14" customWidth="1"/>
    <col min="19" max="22" width="10.109375" style="16" customWidth="1"/>
    <col min="23" max="23" width="10.109375" style="17" customWidth="1"/>
    <col min="24" max="24" width="10.109375" style="16" customWidth="1"/>
    <col min="25" max="16384" width="8.88671875" style="14"/>
  </cols>
  <sheetData>
    <row r="2" spans="2:24" ht="13.8" thickBot="1" x14ac:dyDescent="0.3">
      <c r="C2" s="15" t="s">
        <v>325</v>
      </c>
      <c r="D2" s="15"/>
      <c r="E2" s="15"/>
      <c r="F2" s="15"/>
      <c r="G2" s="108"/>
      <c r="O2" s="15" t="s">
        <v>326</v>
      </c>
      <c r="P2" s="15"/>
      <c r="Q2" s="15"/>
      <c r="R2" s="15"/>
      <c r="S2" s="108"/>
    </row>
    <row r="3" spans="2:24" ht="13.5" customHeight="1" x14ac:dyDescent="0.25">
      <c r="B3" s="87" t="s">
        <v>128</v>
      </c>
      <c r="C3" s="88" t="s">
        <v>3</v>
      </c>
      <c r="D3" s="88" t="s">
        <v>310</v>
      </c>
      <c r="E3" s="88" t="s">
        <v>311</v>
      </c>
      <c r="F3" s="88" t="s">
        <v>312</v>
      </c>
      <c r="G3" s="89" t="s">
        <v>286</v>
      </c>
      <c r="H3" s="86" t="s">
        <v>287</v>
      </c>
      <c r="I3" s="86" t="s">
        <v>288</v>
      </c>
      <c r="J3" s="90" t="s">
        <v>289</v>
      </c>
      <c r="K3" s="87" t="s">
        <v>1</v>
      </c>
      <c r="L3" s="47" t="s">
        <v>309</v>
      </c>
      <c r="M3" s="18"/>
      <c r="N3" s="247" t="s">
        <v>128</v>
      </c>
      <c r="O3" s="88" t="s">
        <v>3</v>
      </c>
      <c r="P3" s="88" t="s">
        <v>310</v>
      </c>
      <c r="Q3" s="88" t="s">
        <v>311</v>
      </c>
      <c r="R3" s="88" t="s">
        <v>312</v>
      </c>
      <c r="S3" s="89" t="s">
        <v>286</v>
      </c>
      <c r="T3" s="86" t="s">
        <v>287</v>
      </c>
      <c r="U3" s="86" t="s">
        <v>288</v>
      </c>
      <c r="V3" s="90" t="s">
        <v>289</v>
      </c>
      <c r="W3" s="87" t="s">
        <v>1</v>
      </c>
      <c r="X3" s="47" t="s">
        <v>309</v>
      </c>
    </row>
    <row r="4" spans="2:24" x14ac:dyDescent="0.25">
      <c r="B4" s="91" t="s">
        <v>180</v>
      </c>
      <c r="C4" s="19" t="s">
        <v>89</v>
      </c>
      <c r="D4" s="19" t="s">
        <v>178</v>
      </c>
      <c r="E4" s="6" t="s">
        <v>138</v>
      </c>
      <c r="F4" s="172" t="s">
        <v>278</v>
      </c>
      <c r="G4" s="165">
        <v>16</v>
      </c>
      <c r="H4" s="20">
        <v>17</v>
      </c>
      <c r="I4" s="20" t="s">
        <v>90</v>
      </c>
      <c r="J4" s="92" t="s">
        <v>90</v>
      </c>
      <c r="K4" s="161">
        <f>SUM(G4:J4)</f>
        <v>33</v>
      </c>
      <c r="L4" s="92">
        <f>AVERAGE(G4:I4)</f>
        <v>16.5</v>
      </c>
      <c r="N4" s="219" t="str">
        <f>B4</f>
        <v>OG.1</v>
      </c>
      <c r="O4" s="19" t="str">
        <f>C4</f>
        <v>Freight Subsidy on Domestic LPG</v>
      </c>
      <c r="P4" s="19" t="str">
        <f t="shared" ref="P4:P41" si="0">D4</f>
        <v>Direct and indirect transfer of funds and liabilities</v>
      </c>
      <c r="Q4" s="19" t="str">
        <f t="shared" ref="Q4:Q41" si="1">E4</f>
        <v>Consumption</v>
      </c>
      <c r="R4" s="172" t="str">
        <f t="shared" ref="R4:R41" si="2">F4</f>
        <v>Storage &amp; Transport</v>
      </c>
      <c r="S4" s="59">
        <f>G4*'Exchange Rates'!$F$4*10</f>
        <v>2.644793781296384</v>
      </c>
      <c r="T4" s="2">
        <f>H4*'Exchange Rates'!$G$4*10</f>
        <v>2.7801809080070772</v>
      </c>
      <c r="U4" s="20" t="s">
        <v>90</v>
      </c>
      <c r="V4" s="92" t="s">
        <v>90</v>
      </c>
      <c r="W4" s="161">
        <f>SUM(S4:V4)</f>
        <v>5.4249746893034612</v>
      </c>
      <c r="X4" s="92">
        <f>AVERAGE(S4:U4)</f>
        <v>2.7124873446517306</v>
      </c>
    </row>
    <row r="5" spans="2:24" x14ac:dyDescent="0.25">
      <c r="B5" s="91" t="s">
        <v>181</v>
      </c>
      <c r="C5" s="19" t="s">
        <v>91</v>
      </c>
      <c r="D5" s="19" t="s">
        <v>178</v>
      </c>
      <c r="E5" s="6" t="s">
        <v>138</v>
      </c>
      <c r="F5" s="172" t="s">
        <v>278</v>
      </c>
      <c r="G5" s="165">
        <v>5</v>
      </c>
      <c r="H5" s="20">
        <v>4</v>
      </c>
      <c r="I5" s="20" t="s">
        <v>90</v>
      </c>
      <c r="J5" s="92" t="s">
        <v>90</v>
      </c>
      <c r="K5" s="161">
        <f t="shared" ref="K5:K30" si="3">SUM(G5:J5)</f>
        <v>9</v>
      </c>
      <c r="L5" s="92">
        <f>AVERAGE(G5:I5)</f>
        <v>4.5</v>
      </c>
      <c r="N5" s="219" t="str">
        <f t="shared" ref="N5:N41" si="4">B5</f>
        <v>OG.2</v>
      </c>
      <c r="O5" s="19" t="str">
        <f t="shared" ref="O5:O41" si="5">C5</f>
        <v>Freight Subsidy on PDS Kerosene</v>
      </c>
      <c r="P5" s="19" t="str">
        <f t="shared" si="0"/>
        <v>Direct and indirect transfer of funds and liabilities</v>
      </c>
      <c r="Q5" s="19" t="str">
        <f t="shared" si="1"/>
        <v>Consumption</v>
      </c>
      <c r="R5" s="172" t="str">
        <f t="shared" si="2"/>
        <v>Storage &amp; Transport</v>
      </c>
      <c r="S5" s="59">
        <f>G5*'Exchange Rates'!$F$4*10</f>
        <v>0.82649805665511999</v>
      </c>
      <c r="T5" s="2">
        <f>H5*'Exchange Rates'!$G$4*10</f>
        <v>0.65416021364872401</v>
      </c>
      <c r="U5" s="20" t="s">
        <v>90</v>
      </c>
      <c r="V5" s="92" t="s">
        <v>90</v>
      </c>
      <c r="W5" s="161">
        <f t="shared" ref="W5:W19" si="6">SUM(S5:V5)</f>
        <v>1.480658270303844</v>
      </c>
      <c r="X5" s="92">
        <f>AVERAGE(S5:U5)</f>
        <v>0.740329135151922</v>
      </c>
    </row>
    <row r="6" spans="2:24" x14ac:dyDescent="0.25">
      <c r="B6" s="219" t="s">
        <v>182</v>
      </c>
      <c r="C6" s="220" t="s">
        <v>92</v>
      </c>
      <c r="D6" s="220" t="s">
        <v>178</v>
      </c>
      <c r="E6" s="7" t="s">
        <v>138</v>
      </c>
      <c r="F6" s="221" t="s">
        <v>273</v>
      </c>
      <c r="G6" s="165">
        <v>1904</v>
      </c>
      <c r="H6" s="222">
        <v>2272</v>
      </c>
      <c r="I6" s="222" t="s">
        <v>90</v>
      </c>
      <c r="J6" s="223" t="s">
        <v>90</v>
      </c>
      <c r="K6" s="161">
        <f t="shared" si="3"/>
        <v>4176</v>
      </c>
      <c r="L6" s="92">
        <f t="shared" ref="L6:L8" si="7">AVERAGE(G6:I6)</f>
        <v>2088</v>
      </c>
      <c r="N6" s="219" t="str">
        <f t="shared" si="4"/>
        <v>OG.3</v>
      </c>
      <c r="O6" s="220" t="str">
        <f t="shared" si="5"/>
        <v>Fiscal Subsidy on LPG</v>
      </c>
      <c r="P6" s="220" t="str">
        <f t="shared" si="0"/>
        <v>Direct and indirect transfer of funds and liabilities</v>
      </c>
      <c r="Q6" s="220" t="str">
        <f t="shared" si="1"/>
        <v>Consumption</v>
      </c>
      <c r="R6" s="221" t="str">
        <f t="shared" si="2"/>
        <v>Consumers</v>
      </c>
      <c r="S6" s="166">
        <f>G6*'Exchange Rates'!$F$4*10</f>
        <v>314.73045997426971</v>
      </c>
      <c r="T6" s="10">
        <f>H6*'Exchange Rates'!$G$4*10</f>
        <v>371.56300135247528</v>
      </c>
      <c r="U6" s="222" t="s">
        <v>90</v>
      </c>
      <c r="V6" s="223" t="s">
        <v>90</v>
      </c>
      <c r="W6" s="161">
        <f t="shared" si="6"/>
        <v>686.29346132674505</v>
      </c>
      <c r="X6" s="92">
        <f t="shared" ref="X6:X8" si="8">AVERAGE(S6:U6)</f>
        <v>343.14673066337252</v>
      </c>
    </row>
    <row r="7" spans="2:24" x14ac:dyDescent="0.25">
      <c r="B7" s="219" t="s">
        <v>183</v>
      </c>
      <c r="C7" s="220" t="s">
        <v>93</v>
      </c>
      <c r="D7" s="220" t="s">
        <v>178</v>
      </c>
      <c r="E7" s="7" t="s">
        <v>138</v>
      </c>
      <c r="F7" s="221" t="s">
        <v>273</v>
      </c>
      <c r="G7" s="165">
        <v>676</v>
      </c>
      <c r="H7" s="222" t="s">
        <v>90</v>
      </c>
      <c r="I7" s="222" t="s">
        <v>90</v>
      </c>
      <c r="J7" s="223" t="s">
        <v>90</v>
      </c>
      <c r="K7" s="161">
        <f t="shared" si="3"/>
        <v>676</v>
      </c>
      <c r="L7" s="92">
        <f t="shared" si="7"/>
        <v>676</v>
      </c>
      <c r="N7" s="219" t="str">
        <f t="shared" si="4"/>
        <v>OG.4</v>
      </c>
      <c r="O7" s="220" t="str">
        <f t="shared" si="5"/>
        <v>Fiscal Subsidy on Kerosene</v>
      </c>
      <c r="P7" s="220" t="str">
        <f t="shared" si="0"/>
        <v>Direct and indirect transfer of funds and liabilities</v>
      </c>
      <c r="Q7" s="220" t="str">
        <f t="shared" si="1"/>
        <v>Consumption</v>
      </c>
      <c r="R7" s="221" t="str">
        <f t="shared" si="2"/>
        <v>Consumers</v>
      </c>
      <c r="S7" s="166">
        <f>G7*'Exchange Rates'!$F$4*10</f>
        <v>111.74253725977222</v>
      </c>
      <c r="T7" s="222" t="s">
        <v>90</v>
      </c>
      <c r="U7" s="222" t="s">
        <v>90</v>
      </c>
      <c r="V7" s="223" t="s">
        <v>90</v>
      </c>
      <c r="W7" s="161">
        <f t="shared" si="6"/>
        <v>111.74253725977222</v>
      </c>
      <c r="X7" s="92">
        <f t="shared" si="8"/>
        <v>111.74253725977222</v>
      </c>
    </row>
    <row r="8" spans="2:24" x14ac:dyDescent="0.25">
      <c r="B8" s="219" t="s">
        <v>184</v>
      </c>
      <c r="C8" s="220" t="s">
        <v>94</v>
      </c>
      <c r="D8" s="220" t="s">
        <v>178</v>
      </c>
      <c r="E8" s="7" t="s">
        <v>138</v>
      </c>
      <c r="F8" s="221" t="s">
        <v>273</v>
      </c>
      <c r="G8" s="165">
        <v>3869.28</v>
      </c>
      <c r="H8" s="222">
        <v>3970.9</v>
      </c>
      <c r="I8" s="222">
        <v>16056.059725900001</v>
      </c>
      <c r="J8" s="223">
        <v>12133</v>
      </c>
      <c r="K8" s="161">
        <f t="shared" si="3"/>
        <v>36029.239725899999</v>
      </c>
      <c r="L8" s="92">
        <f t="shared" si="7"/>
        <v>7965.4132419666666</v>
      </c>
      <c r="N8" s="219" t="str">
        <f t="shared" si="4"/>
        <v>OG.5</v>
      </c>
      <c r="O8" s="220" t="str">
        <f t="shared" si="5"/>
        <v>DBTL Subsidy on Domestic LPG (Subsidised)^</v>
      </c>
      <c r="P8" s="220" t="str">
        <f t="shared" si="0"/>
        <v>Direct and indirect transfer of funds and liabilities</v>
      </c>
      <c r="Q8" s="220" t="str">
        <f t="shared" si="1"/>
        <v>Consumption</v>
      </c>
      <c r="R8" s="221" t="str">
        <f t="shared" si="2"/>
        <v>Consumers</v>
      </c>
      <c r="S8" s="166">
        <f>G8*'Exchange Rates'!$F$4*10</f>
        <v>639.59048013090455</v>
      </c>
      <c r="T8" s="10">
        <f>H8*'Exchange Rates'!$G$4*10</f>
        <v>649.40119809442967</v>
      </c>
      <c r="U8" s="10">
        <f>I8*'Exchange Rates'!$H$4*10</f>
        <v>2452.7635077778959</v>
      </c>
      <c r="V8" s="25">
        <f>J8*'Exchange Rates'!$I$4*10</f>
        <v>1808.4770217738649</v>
      </c>
      <c r="W8" s="161">
        <f t="shared" si="6"/>
        <v>5550.232207777095</v>
      </c>
      <c r="X8" s="92">
        <f t="shared" si="8"/>
        <v>1247.2517286677432</v>
      </c>
    </row>
    <row r="9" spans="2:24" x14ac:dyDescent="0.25">
      <c r="B9" s="219" t="s">
        <v>185</v>
      </c>
      <c r="C9" s="220" t="s">
        <v>95</v>
      </c>
      <c r="D9" s="220" t="s">
        <v>178</v>
      </c>
      <c r="E9" s="7" t="s">
        <v>138</v>
      </c>
      <c r="F9" s="221" t="s">
        <v>273</v>
      </c>
      <c r="G9" s="165" t="s">
        <v>90</v>
      </c>
      <c r="H9" s="222" t="s">
        <v>90</v>
      </c>
      <c r="I9" s="222" t="s">
        <v>90</v>
      </c>
      <c r="J9" s="223" t="s">
        <v>90</v>
      </c>
      <c r="K9" s="161">
        <f t="shared" si="3"/>
        <v>0</v>
      </c>
      <c r="L9" s="162" t="s">
        <v>22</v>
      </c>
      <c r="N9" s="219" t="str">
        <f t="shared" si="4"/>
        <v>OG.6</v>
      </c>
      <c r="O9" s="220" t="str">
        <f t="shared" si="5"/>
        <v>Rajiv Gandhi Gramin LPG Vitaran Yojana</v>
      </c>
      <c r="P9" s="220" t="str">
        <f t="shared" si="0"/>
        <v>Direct and indirect transfer of funds and liabilities</v>
      </c>
      <c r="Q9" s="220" t="str">
        <f t="shared" si="1"/>
        <v>Consumption</v>
      </c>
      <c r="R9" s="221" t="str">
        <f t="shared" si="2"/>
        <v>Consumers</v>
      </c>
      <c r="S9" s="165" t="s">
        <v>90</v>
      </c>
      <c r="T9" s="222" t="s">
        <v>90</v>
      </c>
      <c r="U9" s="222" t="s">
        <v>90</v>
      </c>
      <c r="V9" s="223" t="s">
        <v>90</v>
      </c>
      <c r="W9" s="161">
        <f t="shared" si="6"/>
        <v>0</v>
      </c>
      <c r="X9" s="162" t="s">
        <v>22</v>
      </c>
    </row>
    <row r="10" spans="2:24" x14ac:dyDescent="0.25">
      <c r="B10" s="219" t="s">
        <v>186</v>
      </c>
      <c r="C10" s="220" t="s">
        <v>96</v>
      </c>
      <c r="D10" s="220" t="s">
        <v>178</v>
      </c>
      <c r="E10" s="7" t="s">
        <v>138</v>
      </c>
      <c r="F10" s="221" t="s">
        <v>273</v>
      </c>
      <c r="G10" s="165">
        <v>1234</v>
      </c>
      <c r="H10" s="222" t="s">
        <v>13</v>
      </c>
      <c r="I10" s="222">
        <v>5755</v>
      </c>
      <c r="J10" s="223" t="s">
        <v>13</v>
      </c>
      <c r="K10" s="161">
        <f t="shared" si="3"/>
        <v>6989</v>
      </c>
      <c r="L10" s="92">
        <f t="shared" ref="L10:L11" si="9">AVERAGE(G10:I10)</f>
        <v>3494.5</v>
      </c>
      <c r="N10" s="219" t="str">
        <f t="shared" si="4"/>
        <v>OG.7</v>
      </c>
      <c r="O10" s="220" t="str">
        <f t="shared" si="5"/>
        <v>Permanent Cash Advance pertaining to DBTL</v>
      </c>
      <c r="P10" s="220" t="str">
        <f t="shared" si="0"/>
        <v>Direct and indirect transfer of funds and liabilities</v>
      </c>
      <c r="Q10" s="220" t="str">
        <f t="shared" si="1"/>
        <v>Consumption</v>
      </c>
      <c r="R10" s="221" t="str">
        <f t="shared" si="2"/>
        <v>Consumers</v>
      </c>
      <c r="S10" s="166">
        <f>G10*'Exchange Rates'!$F$4*10</f>
        <v>203.97972038248361</v>
      </c>
      <c r="T10" s="222" t="s">
        <v>13</v>
      </c>
      <c r="U10" s="10">
        <f>I10*'Exchange Rates'!$H$4*10</f>
        <v>879.14807419979002</v>
      </c>
      <c r="V10" s="223" t="s">
        <v>13</v>
      </c>
      <c r="W10" s="161">
        <f t="shared" si="6"/>
        <v>1083.1277945822735</v>
      </c>
      <c r="X10" s="92">
        <f t="shared" ref="X10:X11" si="10">AVERAGE(S10:U10)</f>
        <v>541.56389729113675</v>
      </c>
    </row>
    <row r="11" spans="2:24" x14ac:dyDescent="0.25">
      <c r="B11" s="219" t="s">
        <v>187</v>
      </c>
      <c r="C11" s="220" t="s">
        <v>97</v>
      </c>
      <c r="D11" s="220" t="s">
        <v>178</v>
      </c>
      <c r="E11" s="7" t="s">
        <v>138</v>
      </c>
      <c r="F11" s="221" t="s">
        <v>273</v>
      </c>
      <c r="G11" s="165">
        <v>43.16</v>
      </c>
      <c r="H11" s="222" t="s">
        <v>90</v>
      </c>
      <c r="I11" s="222">
        <v>200</v>
      </c>
      <c r="J11" s="223" t="s">
        <v>13</v>
      </c>
      <c r="K11" s="161">
        <f t="shared" si="3"/>
        <v>243.16</v>
      </c>
      <c r="L11" s="92">
        <f t="shared" si="9"/>
        <v>121.58</v>
      </c>
      <c r="N11" s="219" t="str">
        <f t="shared" si="4"/>
        <v>OG.8</v>
      </c>
      <c r="O11" s="220" t="str">
        <f t="shared" si="5"/>
        <v>Project Management Expenditure pertaining to DBTL</v>
      </c>
      <c r="P11" s="220" t="str">
        <f t="shared" si="0"/>
        <v>Direct and indirect transfer of funds and liabilities</v>
      </c>
      <c r="Q11" s="220" t="str">
        <f t="shared" si="1"/>
        <v>Consumption</v>
      </c>
      <c r="R11" s="221" t="str">
        <f t="shared" si="2"/>
        <v>Consumers</v>
      </c>
      <c r="S11" s="166">
        <f>G11*'Exchange Rates'!$F$4*10</f>
        <v>7.1343312250469948</v>
      </c>
      <c r="T11" s="222" t="s">
        <v>90</v>
      </c>
      <c r="U11" s="10">
        <f>I11*'Exchange Rates'!$H$4*10</f>
        <v>30.552496062547</v>
      </c>
      <c r="V11" s="223" t="s">
        <v>13</v>
      </c>
      <c r="W11" s="161">
        <f t="shared" si="6"/>
        <v>37.686827287593992</v>
      </c>
      <c r="X11" s="92">
        <f t="shared" si="10"/>
        <v>18.843413643796996</v>
      </c>
    </row>
    <row r="12" spans="2:24" x14ac:dyDescent="0.25">
      <c r="B12" s="219" t="s">
        <v>188</v>
      </c>
      <c r="C12" s="220" t="s">
        <v>99</v>
      </c>
      <c r="D12" s="220" t="s">
        <v>178</v>
      </c>
      <c r="E12" s="7" t="s">
        <v>138</v>
      </c>
      <c r="F12" s="221" t="s">
        <v>273</v>
      </c>
      <c r="G12" s="165" t="s">
        <v>90</v>
      </c>
      <c r="H12" s="222" t="s">
        <v>13</v>
      </c>
      <c r="I12" s="222" t="s">
        <v>13</v>
      </c>
      <c r="J12" s="223">
        <v>0.01</v>
      </c>
      <c r="K12" s="161">
        <f t="shared" si="3"/>
        <v>0.01</v>
      </c>
      <c r="L12" s="162" t="s">
        <v>22</v>
      </c>
      <c r="N12" s="219" t="str">
        <f t="shared" si="4"/>
        <v>OG.9</v>
      </c>
      <c r="O12" s="220" t="str">
        <f t="shared" si="5"/>
        <v>DBTK (Actual and BE)</v>
      </c>
      <c r="P12" s="220" t="str">
        <f t="shared" si="0"/>
        <v>Direct and indirect transfer of funds and liabilities</v>
      </c>
      <c r="Q12" s="220" t="str">
        <f t="shared" si="1"/>
        <v>Consumption</v>
      </c>
      <c r="R12" s="221" t="str">
        <f t="shared" si="2"/>
        <v>Consumers</v>
      </c>
      <c r="S12" s="165" t="s">
        <v>90</v>
      </c>
      <c r="T12" s="222" t="s">
        <v>13</v>
      </c>
      <c r="U12" s="222" t="s">
        <v>13</v>
      </c>
      <c r="V12" s="25">
        <f>J12*'Exchange Rates'!$I$4*10</f>
        <v>1.4905439889342001E-3</v>
      </c>
      <c r="W12" s="161">
        <f t="shared" si="6"/>
        <v>1.4905439889342001E-3</v>
      </c>
      <c r="X12" s="162" t="s">
        <v>22</v>
      </c>
    </row>
    <row r="13" spans="2:24" x14ac:dyDescent="0.25">
      <c r="B13" s="219" t="s">
        <v>189</v>
      </c>
      <c r="C13" s="220" t="s">
        <v>100</v>
      </c>
      <c r="D13" s="220" t="s">
        <v>178</v>
      </c>
      <c r="E13" s="7" t="s">
        <v>138</v>
      </c>
      <c r="F13" s="221" t="s">
        <v>273</v>
      </c>
      <c r="G13" s="165" t="s">
        <v>90</v>
      </c>
      <c r="H13" s="222" t="s">
        <v>13</v>
      </c>
      <c r="I13" s="222" t="s">
        <v>13</v>
      </c>
      <c r="J13" s="223">
        <v>81</v>
      </c>
      <c r="K13" s="161">
        <f t="shared" si="3"/>
        <v>81</v>
      </c>
      <c r="L13" s="162" t="s">
        <v>22</v>
      </c>
      <c r="N13" s="219" t="str">
        <f t="shared" si="4"/>
        <v>OG.10</v>
      </c>
      <c r="O13" s="220" t="str">
        <f t="shared" si="5"/>
        <v xml:space="preserve">Cash Incentives for Kerosene Distribution Reforms* </v>
      </c>
      <c r="P13" s="220" t="str">
        <f t="shared" si="0"/>
        <v>Direct and indirect transfer of funds and liabilities</v>
      </c>
      <c r="Q13" s="220" t="str">
        <f t="shared" si="1"/>
        <v>Consumption</v>
      </c>
      <c r="R13" s="221" t="str">
        <f t="shared" si="2"/>
        <v>Consumers</v>
      </c>
      <c r="S13" s="165" t="s">
        <v>90</v>
      </c>
      <c r="T13" s="222" t="s">
        <v>13</v>
      </c>
      <c r="U13" s="222" t="s">
        <v>13</v>
      </c>
      <c r="V13" s="25">
        <f>J13*'Exchange Rates'!$I$4*10</f>
        <v>12.073406310367021</v>
      </c>
      <c r="W13" s="161">
        <f t="shared" si="6"/>
        <v>12.073406310367021</v>
      </c>
      <c r="X13" s="162" t="s">
        <v>22</v>
      </c>
    </row>
    <row r="14" spans="2:24" x14ac:dyDescent="0.25">
      <c r="B14" s="219" t="s">
        <v>190</v>
      </c>
      <c r="C14" s="220" t="s">
        <v>101</v>
      </c>
      <c r="D14" s="220" t="s">
        <v>178</v>
      </c>
      <c r="E14" s="7" t="s">
        <v>138</v>
      </c>
      <c r="F14" s="221" t="s">
        <v>273</v>
      </c>
      <c r="G14" s="165" t="s">
        <v>90</v>
      </c>
      <c r="H14" s="222" t="s">
        <v>13</v>
      </c>
      <c r="I14" s="222" t="s">
        <v>13</v>
      </c>
      <c r="J14" s="223">
        <v>2</v>
      </c>
      <c r="K14" s="161">
        <f t="shared" si="3"/>
        <v>2</v>
      </c>
      <c r="L14" s="162" t="s">
        <v>22</v>
      </c>
      <c r="N14" s="219" t="str">
        <f t="shared" si="4"/>
        <v>OG.11</v>
      </c>
      <c r="O14" s="220" t="str">
        <f t="shared" si="5"/>
        <v>Assistance to States/UTs for establishment of Institutional mechanism for direct transfer of subsidy in cash for PDS Kerosene beneficiaries* (RE and BE)</v>
      </c>
      <c r="P14" s="220" t="str">
        <f t="shared" si="0"/>
        <v>Direct and indirect transfer of funds and liabilities</v>
      </c>
      <c r="Q14" s="220" t="str">
        <f t="shared" si="1"/>
        <v>Consumption</v>
      </c>
      <c r="R14" s="221" t="str">
        <f t="shared" si="2"/>
        <v>Consumers</v>
      </c>
      <c r="S14" s="165" t="s">
        <v>90</v>
      </c>
      <c r="T14" s="222" t="s">
        <v>13</v>
      </c>
      <c r="U14" s="222" t="s">
        <v>13</v>
      </c>
      <c r="V14" s="25">
        <f>J14*'Exchange Rates'!$I$4*10</f>
        <v>0.29810879778684002</v>
      </c>
      <c r="W14" s="161">
        <f t="shared" si="6"/>
        <v>0.29810879778684002</v>
      </c>
      <c r="X14" s="162" t="s">
        <v>22</v>
      </c>
    </row>
    <row r="15" spans="2:24" x14ac:dyDescent="0.25">
      <c r="B15" s="219" t="s">
        <v>191</v>
      </c>
      <c r="C15" s="220" t="s">
        <v>102</v>
      </c>
      <c r="D15" s="220" t="s">
        <v>178</v>
      </c>
      <c r="E15" s="7" t="s">
        <v>138</v>
      </c>
      <c r="F15" s="221" t="s">
        <v>273</v>
      </c>
      <c r="G15" s="165">
        <f>625</f>
        <v>625</v>
      </c>
      <c r="H15" s="222">
        <f>661</f>
        <v>661</v>
      </c>
      <c r="I15" s="222">
        <f>660</f>
        <v>660</v>
      </c>
      <c r="J15" s="223">
        <f>744.55</f>
        <v>744.55</v>
      </c>
      <c r="K15" s="161">
        <f t="shared" si="3"/>
        <v>2690.55</v>
      </c>
      <c r="L15" s="92">
        <f t="shared" ref="L15:L19" si="11">AVERAGE(G15:I15)</f>
        <v>648.66666666666663</v>
      </c>
      <c r="N15" s="219" t="str">
        <f t="shared" si="4"/>
        <v>OG.12</v>
      </c>
      <c r="O15" s="220" t="str">
        <f t="shared" si="5"/>
        <v xml:space="preserve">Natural Gas Subsidy Scheme for North Eastern States </v>
      </c>
      <c r="P15" s="220" t="str">
        <f t="shared" si="0"/>
        <v>Direct and indirect transfer of funds and liabilities</v>
      </c>
      <c r="Q15" s="220" t="str">
        <f t="shared" si="1"/>
        <v>Consumption</v>
      </c>
      <c r="R15" s="221" t="str">
        <f t="shared" si="2"/>
        <v>Consumers</v>
      </c>
      <c r="S15" s="166">
        <f>G15*'Exchange Rates'!$F$4*10</f>
        <v>103.31225708189001</v>
      </c>
      <c r="T15" s="10">
        <f>H15*'Exchange Rates'!$G$4*10</f>
        <v>108.09997530545164</v>
      </c>
      <c r="U15" s="10">
        <f>I15*'Exchange Rates'!$H$4*10</f>
        <v>100.82323700640509</v>
      </c>
      <c r="V15" s="25">
        <f>J15*'Exchange Rates'!$I$4*10</f>
        <v>110.97845269609586</v>
      </c>
      <c r="W15" s="161">
        <f t="shared" si="6"/>
        <v>423.21392208984258</v>
      </c>
      <c r="X15" s="92">
        <f t="shared" ref="X15:X19" si="12">AVERAGE(S15:U15)</f>
        <v>104.07848979791557</v>
      </c>
    </row>
    <row r="16" spans="2:24" ht="39.6" x14ac:dyDescent="0.25">
      <c r="B16" s="219" t="s">
        <v>192</v>
      </c>
      <c r="C16" s="224" t="s">
        <v>290</v>
      </c>
      <c r="D16" s="220" t="s">
        <v>178</v>
      </c>
      <c r="E16" s="7" t="s">
        <v>138</v>
      </c>
      <c r="F16" s="221" t="s">
        <v>273</v>
      </c>
      <c r="G16" s="165" t="s">
        <v>13</v>
      </c>
      <c r="H16" s="222" t="s">
        <v>13</v>
      </c>
      <c r="I16" s="222" t="s">
        <v>13</v>
      </c>
      <c r="J16" s="223">
        <v>7.4</v>
      </c>
      <c r="K16" s="161">
        <f t="shared" si="3"/>
        <v>7.4</v>
      </c>
      <c r="L16" s="162" t="s">
        <v>22</v>
      </c>
      <c r="N16" s="219" t="str">
        <f t="shared" si="4"/>
        <v>OG.13</v>
      </c>
      <c r="O16" s="220" t="str">
        <f t="shared" si="5"/>
        <v>Diesel Subsidy in Drought and Deficit Rainfall
Affected Areas</v>
      </c>
      <c r="P16" s="220" t="str">
        <f t="shared" si="0"/>
        <v>Direct and indirect transfer of funds and liabilities</v>
      </c>
      <c r="Q16" s="220" t="str">
        <f t="shared" si="1"/>
        <v>Consumption</v>
      </c>
      <c r="R16" s="221" t="str">
        <f t="shared" si="2"/>
        <v>Consumers</v>
      </c>
      <c r="S16" s="165" t="s">
        <v>13</v>
      </c>
      <c r="T16" s="222" t="s">
        <v>13</v>
      </c>
      <c r="U16" s="222" t="s">
        <v>13</v>
      </c>
      <c r="V16" s="25">
        <f>J16*'Exchange Rates'!$I$4*10</f>
        <v>1.103002551811308</v>
      </c>
      <c r="W16" s="161">
        <f t="shared" si="6"/>
        <v>1.103002551811308</v>
      </c>
      <c r="X16" s="162" t="s">
        <v>22</v>
      </c>
    </row>
    <row r="17" spans="2:24" x14ac:dyDescent="0.25">
      <c r="B17" s="219" t="s">
        <v>193</v>
      </c>
      <c r="C17" s="220" t="s">
        <v>103</v>
      </c>
      <c r="D17" s="220" t="s">
        <v>37</v>
      </c>
      <c r="E17" s="7" t="s">
        <v>138</v>
      </c>
      <c r="F17" s="221" t="s">
        <v>273</v>
      </c>
      <c r="G17" s="165">
        <v>62836.89</v>
      </c>
      <c r="H17" s="222">
        <v>10934.59</v>
      </c>
      <c r="I17" s="222" t="s">
        <v>90</v>
      </c>
      <c r="J17" s="223" t="s">
        <v>90</v>
      </c>
      <c r="K17" s="161">
        <f t="shared" si="3"/>
        <v>73771.48</v>
      </c>
      <c r="L17" s="92">
        <f t="shared" si="11"/>
        <v>36885.74</v>
      </c>
      <c r="N17" s="219" t="str">
        <f t="shared" si="4"/>
        <v>OG.14</v>
      </c>
      <c r="O17" s="220" t="str">
        <f t="shared" si="5"/>
        <v>Under Recovery on Diesel#</v>
      </c>
      <c r="P17" s="220" t="str">
        <f t="shared" si="0"/>
        <v>Income or price support</v>
      </c>
      <c r="Q17" s="220" t="str">
        <f t="shared" si="1"/>
        <v>Consumption</v>
      </c>
      <c r="R17" s="221" t="str">
        <f t="shared" si="2"/>
        <v>Consumers</v>
      </c>
      <c r="S17" s="166">
        <f>G17*'Exchange Rates'!$F$4*10</f>
        <v>10386.91349425031</v>
      </c>
      <c r="T17" s="10">
        <f>H17*'Exchange Rates'!$G$4*10</f>
        <v>1788.2434326403004</v>
      </c>
      <c r="U17" s="222" t="s">
        <v>90</v>
      </c>
      <c r="V17" s="223" t="s">
        <v>90</v>
      </c>
      <c r="W17" s="161">
        <f t="shared" si="6"/>
        <v>12175.15692689061</v>
      </c>
      <c r="X17" s="92">
        <f t="shared" si="12"/>
        <v>6087.5784634453048</v>
      </c>
    </row>
    <row r="18" spans="2:24" x14ac:dyDescent="0.25">
      <c r="B18" s="219" t="s">
        <v>194</v>
      </c>
      <c r="C18" s="220" t="s">
        <v>104</v>
      </c>
      <c r="D18" s="220" t="s">
        <v>37</v>
      </c>
      <c r="E18" s="7" t="s">
        <v>138</v>
      </c>
      <c r="F18" s="221" t="s">
        <v>273</v>
      </c>
      <c r="G18" s="165">
        <v>46457.78</v>
      </c>
      <c r="H18" s="222">
        <v>36580.189999999995</v>
      </c>
      <c r="I18" s="222">
        <v>18.387906999999998</v>
      </c>
      <c r="J18" s="223" t="s">
        <v>90</v>
      </c>
      <c r="K18" s="161">
        <f t="shared" si="3"/>
        <v>83056.357906999998</v>
      </c>
      <c r="L18" s="92">
        <f t="shared" si="11"/>
        <v>27685.452635666665</v>
      </c>
      <c r="N18" s="219" t="str">
        <f t="shared" si="4"/>
        <v>OG.15</v>
      </c>
      <c r="O18" s="220" t="str">
        <f t="shared" si="5"/>
        <v>Under Recovery on Domestic LPG (Subsidised)^</v>
      </c>
      <c r="P18" s="220" t="str">
        <f t="shared" si="0"/>
        <v>Income or price support</v>
      </c>
      <c r="Q18" s="220" t="str">
        <f t="shared" si="1"/>
        <v>Consumption</v>
      </c>
      <c r="R18" s="221" t="str">
        <f t="shared" si="2"/>
        <v>Consumers</v>
      </c>
      <c r="S18" s="166">
        <f>G18*'Exchange Rates'!$F$4*10</f>
        <v>7679.4529773022205</v>
      </c>
      <c r="T18" s="10">
        <f>H18*'Exchange Rates'!$G$4*10</f>
        <v>5982.3262264277291</v>
      </c>
      <c r="U18" s="10">
        <f>I18*'Exchange Rates'!$H$4*10</f>
        <v>2.8089822810799019</v>
      </c>
      <c r="V18" s="223" t="s">
        <v>90</v>
      </c>
      <c r="W18" s="161">
        <f t="shared" si="6"/>
        <v>13664.588186011029</v>
      </c>
      <c r="X18" s="92">
        <f t="shared" si="12"/>
        <v>4554.8627286703431</v>
      </c>
    </row>
    <row r="19" spans="2:24" x14ac:dyDescent="0.25">
      <c r="B19" s="219" t="s">
        <v>195</v>
      </c>
      <c r="C19" s="220" t="s">
        <v>105</v>
      </c>
      <c r="D19" s="220" t="s">
        <v>37</v>
      </c>
      <c r="E19" s="7" t="s">
        <v>138</v>
      </c>
      <c r="F19" s="221" t="s">
        <v>273</v>
      </c>
      <c r="G19" s="165">
        <v>30574.469999999998</v>
      </c>
      <c r="H19" s="222">
        <v>24799.37</v>
      </c>
      <c r="I19" s="222">
        <v>11496.194213800001</v>
      </c>
      <c r="J19" s="223">
        <v>7595</v>
      </c>
      <c r="K19" s="161">
        <f t="shared" si="3"/>
        <v>74465.034213799998</v>
      </c>
      <c r="L19" s="92">
        <f t="shared" si="11"/>
        <v>22290.011404599998</v>
      </c>
      <c r="N19" s="219" t="str">
        <f t="shared" si="4"/>
        <v>OG.16</v>
      </c>
      <c r="O19" s="220" t="str">
        <f t="shared" si="5"/>
        <v>Under Recovery on PDS Kerosene</v>
      </c>
      <c r="P19" s="220" t="str">
        <f t="shared" si="0"/>
        <v>Income or price support</v>
      </c>
      <c r="Q19" s="220" t="str">
        <f t="shared" si="1"/>
        <v>Consumption</v>
      </c>
      <c r="R19" s="221" t="str">
        <f t="shared" si="2"/>
        <v>Consumers</v>
      </c>
      <c r="S19" s="166">
        <f>G19*'Exchange Rates'!$F$4*10</f>
        <v>5053.9480076520531</v>
      </c>
      <c r="T19" s="10">
        <f>H19*'Exchange Rates'!$G$4*10</f>
        <v>4055.6902943884393</v>
      </c>
      <c r="U19" s="10">
        <f>I19*'Exchange Rates'!$H$4*10</f>
        <v>1756.1871422570007</v>
      </c>
      <c r="V19" s="25">
        <f>J19*'Exchange Rates'!$I$4*10</f>
        <v>1132.068159595525</v>
      </c>
      <c r="W19" s="161">
        <f t="shared" si="6"/>
        <v>11997.893603893017</v>
      </c>
      <c r="X19" s="92">
        <f t="shared" si="12"/>
        <v>3621.9418147658307</v>
      </c>
    </row>
    <row r="20" spans="2:24" x14ac:dyDescent="0.25">
      <c r="B20" s="219" t="s">
        <v>196</v>
      </c>
      <c r="C20" s="220" t="s">
        <v>293</v>
      </c>
      <c r="D20" s="220" t="s">
        <v>25</v>
      </c>
      <c r="E20" s="7" t="s">
        <v>138</v>
      </c>
      <c r="F20" s="221" t="s">
        <v>273</v>
      </c>
      <c r="G20" s="165" t="s">
        <v>114</v>
      </c>
      <c r="H20" s="222" t="s">
        <v>114</v>
      </c>
      <c r="I20" s="222" t="s">
        <v>114</v>
      </c>
      <c r="J20" s="223" t="s">
        <v>114</v>
      </c>
      <c r="K20" s="163" t="s">
        <v>22</v>
      </c>
      <c r="L20" s="162" t="s">
        <v>22</v>
      </c>
      <c r="N20" s="219" t="str">
        <f t="shared" si="4"/>
        <v>OG.17</v>
      </c>
      <c r="O20" s="220" t="str">
        <f t="shared" si="5"/>
        <v xml:space="preserve">Customs Duty Exemption on Imported LPG use for Domestic Use </v>
      </c>
      <c r="P20" s="220" t="str">
        <f t="shared" si="0"/>
        <v>Government revenue foregone</v>
      </c>
      <c r="Q20" s="220" t="str">
        <f t="shared" si="1"/>
        <v>Consumption</v>
      </c>
      <c r="R20" s="221" t="str">
        <f t="shared" si="2"/>
        <v>Consumers</v>
      </c>
      <c r="S20" s="165" t="s">
        <v>114</v>
      </c>
      <c r="T20" s="222" t="s">
        <v>114</v>
      </c>
      <c r="U20" s="222" t="s">
        <v>114</v>
      </c>
      <c r="V20" s="223" t="s">
        <v>114</v>
      </c>
      <c r="W20" s="163" t="s">
        <v>22</v>
      </c>
      <c r="X20" s="162" t="s">
        <v>22</v>
      </c>
    </row>
    <row r="21" spans="2:24" x14ac:dyDescent="0.25">
      <c r="B21" s="219" t="s">
        <v>197</v>
      </c>
      <c r="C21" s="220" t="s">
        <v>106</v>
      </c>
      <c r="D21" s="220" t="s">
        <v>25</v>
      </c>
      <c r="E21" s="7" t="s">
        <v>138</v>
      </c>
      <c r="F21" s="221" t="s">
        <v>273</v>
      </c>
      <c r="G21" s="225">
        <v>4055.7084123943664</v>
      </c>
      <c r="H21" s="226">
        <v>3702.5761622535215</v>
      </c>
      <c r="I21" s="226">
        <v>5045.6119014084516</v>
      </c>
      <c r="J21" s="227">
        <v>5844.204741061757</v>
      </c>
      <c r="K21" s="161">
        <f t="shared" si="3"/>
        <v>18648.101217118096</v>
      </c>
      <c r="L21" s="92">
        <f>AVERAGE(G21:I21)</f>
        <v>4267.9654920187795</v>
      </c>
      <c r="N21" s="219" t="str">
        <f t="shared" si="4"/>
        <v>OG.18</v>
      </c>
      <c r="O21" s="220" t="str">
        <f t="shared" si="5"/>
        <v xml:space="preserve">Excise Duty Exemption on Domestic LPG </v>
      </c>
      <c r="P21" s="220" t="str">
        <f t="shared" si="0"/>
        <v>Government revenue foregone</v>
      </c>
      <c r="Q21" s="220" t="str">
        <f t="shared" si="1"/>
        <v>Consumption</v>
      </c>
      <c r="R21" s="221" t="str">
        <f t="shared" si="2"/>
        <v>Consumers</v>
      </c>
      <c r="S21" s="166">
        <f>G21*'Exchange Rates'!$F$4*10</f>
        <v>670.40702424075323</v>
      </c>
      <c r="T21" s="10">
        <f>H21*'Exchange Rates'!$G$4*10</f>
        <v>605.51950333760908</v>
      </c>
      <c r="U21" s="10">
        <f>I21*'Exchange Rates'!$H$4*10</f>
        <v>770.78018875460998</v>
      </c>
      <c r="V21" s="25">
        <f>J21*'Exchange Rates'!$I$4*10</f>
        <v>871.10442468903557</v>
      </c>
      <c r="W21" s="161">
        <f t="shared" ref="W21" si="13">SUM(S21:V21)</f>
        <v>2917.8111410220081</v>
      </c>
      <c r="X21" s="92">
        <f>AVERAGE(S21:U21)</f>
        <v>682.2355721109908</v>
      </c>
    </row>
    <row r="22" spans="2:24" x14ac:dyDescent="0.25">
      <c r="B22" s="219" t="s">
        <v>198</v>
      </c>
      <c r="C22" s="220" t="s">
        <v>107</v>
      </c>
      <c r="D22" s="220" t="s">
        <v>25</v>
      </c>
      <c r="E22" s="7" t="s">
        <v>138</v>
      </c>
      <c r="F22" s="221" t="s">
        <v>273</v>
      </c>
      <c r="G22" s="165" t="s">
        <v>114</v>
      </c>
      <c r="H22" s="222" t="s">
        <v>114</v>
      </c>
      <c r="I22" s="222" t="s">
        <v>114</v>
      </c>
      <c r="J22" s="223" t="s">
        <v>114</v>
      </c>
      <c r="K22" s="163" t="s">
        <v>22</v>
      </c>
      <c r="L22" s="162" t="s">
        <v>22</v>
      </c>
      <c r="N22" s="219" t="str">
        <f t="shared" si="4"/>
        <v>OG.19</v>
      </c>
      <c r="O22" s="220" t="str">
        <f t="shared" si="5"/>
        <v xml:space="preserve">Sales Tax Differential on LPG under Declared Good Status </v>
      </c>
      <c r="P22" s="220" t="str">
        <f t="shared" si="0"/>
        <v>Government revenue foregone</v>
      </c>
      <c r="Q22" s="220" t="str">
        <f t="shared" si="1"/>
        <v>Consumption</v>
      </c>
      <c r="R22" s="221" t="str">
        <f t="shared" si="2"/>
        <v>Consumers</v>
      </c>
      <c r="S22" s="165" t="s">
        <v>114</v>
      </c>
      <c r="T22" s="222" t="s">
        <v>114</v>
      </c>
      <c r="U22" s="222" t="s">
        <v>114</v>
      </c>
      <c r="V22" s="223" t="s">
        <v>114</v>
      </c>
      <c r="W22" s="163" t="s">
        <v>22</v>
      </c>
      <c r="X22" s="162" t="s">
        <v>22</v>
      </c>
    </row>
    <row r="23" spans="2:24" x14ac:dyDescent="0.25">
      <c r="B23" s="219" t="s">
        <v>199</v>
      </c>
      <c r="C23" s="220" t="s">
        <v>291</v>
      </c>
      <c r="D23" s="220" t="s">
        <v>25</v>
      </c>
      <c r="E23" s="7" t="s">
        <v>138</v>
      </c>
      <c r="F23" s="221" t="s">
        <v>273</v>
      </c>
      <c r="G23" s="165" t="s">
        <v>114</v>
      </c>
      <c r="H23" s="222" t="s">
        <v>114</v>
      </c>
      <c r="I23" s="222" t="s">
        <v>114</v>
      </c>
      <c r="J23" s="223" t="s">
        <v>114</v>
      </c>
      <c r="K23" s="163" t="s">
        <v>22</v>
      </c>
      <c r="L23" s="162" t="s">
        <v>22</v>
      </c>
      <c r="N23" s="219" t="str">
        <f t="shared" si="4"/>
        <v>OG.20</v>
      </c>
      <c r="O23" s="220" t="str">
        <f t="shared" si="5"/>
        <v>Customs Duty Exemption on PDS Kerosene</v>
      </c>
      <c r="P23" s="220" t="str">
        <f t="shared" si="0"/>
        <v>Government revenue foregone</v>
      </c>
      <c r="Q23" s="220" t="str">
        <f t="shared" si="1"/>
        <v>Consumption</v>
      </c>
      <c r="R23" s="221" t="str">
        <f t="shared" si="2"/>
        <v>Consumers</v>
      </c>
      <c r="S23" s="165" t="s">
        <v>114</v>
      </c>
      <c r="T23" s="222" t="s">
        <v>114</v>
      </c>
      <c r="U23" s="222" t="s">
        <v>114</v>
      </c>
      <c r="V23" s="223" t="s">
        <v>114</v>
      </c>
      <c r="W23" s="163" t="s">
        <v>22</v>
      </c>
      <c r="X23" s="162" t="s">
        <v>22</v>
      </c>
    </row>
    <row r="24" spans="2:24" x14ac:dyDescent="0.25">
      <c r="B24" s="219" t="s">
        <v>200</v>
      </c>
      <c r="C24" s="220" t="s">
        <v>108</v>
      </c>
      <c r="D24" s="220" t="s">
        <v>25</v>
      </c>
      <c r="E24" s="7" t="s">
        <v>138</v>
      </c>
      <c r="F24" s="221" t="s">
        <v>273</v>
      </c>
      <c r="G24" s="165">
        <v>4279.6965257200009</v>
      </c>
      <c r="H24" s="222">
        <v>3471.6131990400004</v>
      </c>
      <c r="I24" s="222">
        <v>1795.1092619600001</v>
      </c>
      <c r="J24" s="223">
        <v>1229.7549992000004</v>
      </c>
      <c r="K24" s="161">
        <f t="shared" si="3"/>
        <v>10776.173985920002</v>
      </c>
      <c r="L24" s="92">
        <f t="shared" ref="L24:L30" si="14">AVERAGE(G24:I24)</f>
        <v>3182.1396622400007</v>
      </c>
      <c r="N24" s="219" t="str">
        <f t="shared" si="4"/>
        <v>OG.21</v>
      </c>
      <c r="O24" s="220" t="str">
        <f t="shared" si="5"/>
        <v>Excise Duty Exemption on PDS Kerosene</v>
      </c>
      <c r="P24" s="220" t="str">
        <f t="shared" si="0"/>
        <v>Government revenue foregone</v>
      </c>
      <c r="Q24" s="220" t="str">
        <f t="shared" si="1"/>
        <v>Consumption</v>
      </c>
      <c r="R24" s="221" t="str">
        <f t="shared" si="2"/>
        <v>Consumers</v>
      </c>
      <c r="S24" s="166">
        <f>G24*'Exchange Rates'!$F$4*10</f>
        <v>707.43217231624999</v>
      </c>
      <c r="T24" s="10">
        <f>H24*'Exchange Rates'!$G$4*10</f>
        <v>567.74780799743428</v>
      </c>
      <c r="U24" s="10">
        <f>I24*'Exchange Rates'!$H$4*10</f>
        <v>274.2253432893728</v>
      </c>
      <c r="V24" s="25">
        <f>J24*'Exchange Rates'!$I$4*10</f>
        <v>183.30039219193426</v>
      </c>
      <c r="W24" s="161">
        <f t="shared" ref="W24:W30" si="15">SUM(S24:V24)</f>
        <v>1732.7057157949912</v>
      </c>
      <c r="X24" s="92">
        <f t="shared" ref="X24:X30" si="16">AVERAGE(S24:U24)</f>
        <v>516.468441201019</v>
      </c>
    </row>
    <row r="25" spans="2:24" x14ac:dyDescent="0.25">
      <c r="B25" s="219" t="s">
        <v>201</v>
      </c>
      <c r="C25" s="220" t="s">
        <v>109</v>
      </c>
      <c r="D25" s="220" t="s">
        <v>25</v>
      </c>
      <c r="E25" s="7" t="s">
        <v>138</v>
      </c>
      <c r="F25" s="221" t="s">
        <v>253</v>
      </c>
      <c r="G25" s="165">
        <v>910.52500000000009</v>
      </c>
      <c r="H25" s="222">
        <v>534.45099999999991</v>
      </c>
      <c r="I25" s="222">
        <v>248.45670299999998</v>
      </c>
      <c r="J25" s="223">
        <v>58.113357999999998</v>
      </c>
      <c r="K25" s="161">
        <f t="shared" si="3"/>
        <v>1751.5460610000002</v>
      </c>
      <c r="L25" s="92">
        <f t="shared" si="14"/>
        <v>564.47756766666669</v>
      </c>
      <c r="N25" s="219" t="str">
        <f t="shared" si="4"/>
        <v>OG.22</v>
      </c>
      <c r="O25" s="220" t="str">
        <f t="shared" si="5"/>
        <v>Customs duty exemption to power companies purchasing imported LNG</v>
      </c>
      <c r="P25" s="220" t="str">
        <f t="shared" si="0"/>
        <v>Government revenue foregone</v>
      </c>
      <c r="Q25" s="220" t="str">
        <f t="shared" si="1"/>
        <v>Consumption</v>
      </c>
      <c r="R25" s="221" t="str">
        <f t="shared" si="2"/>
        <v>Power plant</v>
      </c>
      <c r="S25" s="166">
        <f>G25*'Exchange Rates'!$F$4*10</f>
        <v>150.50942860718064</v>
      </c>
      <c r="T25" s="10">
        <f>H25*'Exchange Rates'!$G$4*10</f>
        <v>87.404145086193537</v>
      </c>
      <c r="U25" s="10">
        <f>I25*'Exchange Rates'!$H$4*10</f>
        <v>37.954862200604545</v>
      </c>
      <c r="V25" s="25">
        <f>J25*'Exchange Rates'!$I$4*10</f>
        <v>8.6620516443681197</v>
      </c>
      <c r="W25" s="161">
        <f t="shared" si="15"/>
        <v>284.53048753834685</v>
      </c>
      <c r="X25" s="92">
        <f t="shared" si="16"/>
        <v>91.956145297992919</v>
      </c>
    </row>
    <row r="26" spans="2:24" x14ac:dyDescent="0.25">
      <c r="B26" s="219" t="s">
        <v>202</v>
      </c>
      <c r="C26" s="228" t="s">
        <v>98</v>
      </c>
      <c r="D26" s="228" t="s">
        <v>35</v>
      </c>
      <c r="E26" s="7" t="s">
        <v>138</v>
      </c>
      <c r="F26" s="221" t="s">
        <v>273</v>
      </c>
      <c r="G26" s="164" t="s">
        <v>90</v>
      </c>
      <c r="H26" s="213" t="s">
        <v>90</v>
      </c>
      <c r="I26" s="213" t="s">
        <v>90</v>
      </c>
      <c r="J26" s="223">
        <v>2500</v>
      </c>
      <c r="K26" s="161">
        <f t="shared" si="3"/>
        <v>2500</v>
      </c>
      <c r="L26" s="162" t="s">
        <v>22</v>
      </c>
      <c r="N26" s="219" t="str">
        <f t="shared" si="4"/>
        <v>OG.23</v>
      </c>
      <c r="O26" s="220" t="str">
        <f t="shared" si="5"/>
        <v>Expenses on LPG Subsidies for the Poor (Ujjwala Scheme)</v>
      </c>
      <c r="P26" s="220" t="str">
        <f t="shared" si="0"/>
        <v>Provision of goods or services below market value</v>
      </c>
      <c r="Q26" s="220" t="str">
        <f t="shared" si="1"/>
        <v>Consumption</v>
      </c>
      <c r="R26" s="221" t="str">
        <f t="shared" si="2"/>
        <v>Consumers</v>
      </c>
      <c r="S26" s="164" t="s">
        <v>90</v>
      </c>
      <c r="T26" s="213" t="s">
        <v>90</v>
      </c>
      <c r="U26" s="213" t="s">
        <v>90</v>
      </c>
      <c r="V26" s="25">
        <f>J26*'Exchange Rates'!$I$4*10</f>
        <v>372.63599723355003</v>
      </c>
      <c r="W26" s="161">
        <f t="shared" si="15"/>
        <v>372.63599723355003</v>
      </c>
      <c r="X26" s="162" t="s">
        <v>22</v>
      </c>
    </row>
    <row r="27" spans="2:24" x14ac:dyDescent="0.25">
      <c r="B27" s="219" t="s">
        <v>203</v>
      </c>
      <c r="C27" s="229" t="s">
        <v>292</v>
      </c>
      <c r="D27" s="228" t="s">
        <v>35</v>
      </c>
      <c r="E27" s="7" t="s">
        <v>138</v>
      </c>
      <c r="F27" s="221" t="s">
        <v>273</v>
      </c>
      <c r="G27" s="165">
        <v>39.14</v>
      </c>
      <c r="H27" s="222">
        <v>224.75</v>
      </c>
      <c r="I27" s="222">
        <v>791.49</v>
      </c>
      <c r="J27" s="223" t="s">
        <v>13</v>
      </c>
      <c r="K27" s="161">
        <f t="shared" si="3"/>
        <v>1055.3800000000001</v>
      </c>
      <c r="L27" s="92">
        <f t="shared" si="14"/>
        <v>351.79333333333335</v>
      </c>
      <c r="N27" s="219" t="str">
        <f t="shared" si="4"/>
        <v>OG.24</v>
      </c>
      <c r="O27" s="220" t="str">
        <f t="shared" si="5"/>
        <v>OMC Support for Extension of LPG connection to poor families under CSR Scheme@</v>
      </c>
      <c r="P27" s="220" t="str">
        <f t="shared" si="0"/>
        <v>Provision of goods or services below market value</v>
      </c>
      <c r="Q27" s="220" t="str">
        <f t="shared" si="1"/>
        <v>Consumption</v>
      </c>
      <c r="R27" s="221" t="str">
        <f t="shared" si="2"/>
        <v>Consumers</v>
      </c>
      <c r="S27" s="166">
        <f>G27*'Exchange Rates'!$F$4*10</f>
        <v>6.4698267874962792</v>
      </c>
      <c r="T27" s="10">
        <f>H27*'Exchange Rates'!$G$4*10</f>
        <v>36.755627004387684</v>
      </c>
      <c r="U27" s="10">
        <f>I27*'Exchange Rates'!$H$4*10</f>
        <v>120.90997554272663</v>
      </c>
      <c r="V27" s="223" t="s">
        <v>13</v>
      </c>
      <c r="W27" s="161">
        <f t="shared" si="15"/>
        <v>164.13542933461059</v>
      </c>
      <c r="X27" s="92">
        <f t="shared" si="16"/>
        <v>54.711809778203531</v>
      </c>
    </row>
    <row r="28" spans="2:24" x14ac:dyDescent="0.25">
      <c r="B28" s="219" t="s">
        <v>204</v>
      </c>
      <c r="C28" s="220" t="s">
        <v>110</v>
      </c>
      <c r="D28" s="220" t="s">
        <v>178</v>
      </c>
      <c r="E28" s="7" t="s">
        <v>137</v>
      </c>
      <c r="F28" s="221" t="s">
        <v>279</v>
      </c>
      <c r="G28" s="165">
        <f>151.68</f>
        <v>151.68</v>
      </c>
      <c r="H28" s="222">
        <f>310.64</f>
        <v>310.64</v>
      </c>
      <c r="I28" s="222">
        <f>275.23</f>
        <v>275.23</v>
      </c>
      <c r="J28" s="223" t="s">
        <v>13</v>
      </c>
      <c r="K28" s="161">
        <f t="shared" si="3"/>
        <v>737.55</v>
      </c>
      <c r="L28" s="92">
        <f t="shared" si="14"/>
        <v>245.85</v>
      </c>
      <c r="N28" s="219" t="str">
        <f t="shared" si="4"/>
        <v>OG.25</v>
      </c>
      <c r="O28" s="220" t="str">
        <f t="shared" si="5"/>
        <v>Oil Industry Development Board (OIDB) grants and subsidies on oil and gas</v>
      </c>
      <c r="P28" s="220" t="str">
        <f t="shared" si="0"/>
        <v>Direct and indirect transfer of funds and liabilities</v>
      </c>
      <c r="Q28" s="220" t="str">
        <f t="shared" si="1"/>
        <v>Production</v>
      </c>
      <c r="R28" s="221" t="str">
        <f t="shared" si="2"/>
        <v>Research</v>
      </c>
      <c r="S28" s="166">
        <f>G28*'Exchange Rates'!$F$4*10</f>
        <v>25.072645046689722</v>
      </c>
      <c r="T28" s="10">
        <f>H28*'Exchange Rates'!$G$4*10</f>
        <v>50.802082191959897</v>
      </c>
      <c r="U28" s="10">
        <f>I28*'Exchange Rates'!$H$4*10</f>
        <v>42.044817456474057</v>
      </c>
      <c r="V28" s="223" t="s">
        <v>13</v>
      </c>
      <c r="W28" s="161">
        <f t="shared" si="15"/>
        <v>117.91954469512368</v>
      </c>
      <c r="X28" s="92">
        <f t="shared" si="16"/>
        <v>39.306514898374559</v>
      </c>
    </row>
    <row r="29" spans="2:24" x14ac:dyDescent="0.25">
      <c r="B29" s="219" t="s">
        <v>205</v>
      </c>
      <c r="C29" s="220" t="s">
        <v>111</v>
      </c>
      <c r="D29" s="220" t="s">
        <v>178</v>
      </c>
      <c r="E29" s="7" t="s">
        <v>138</v>
      </c>
      <c r="F29" s="7" t="s">
        <v>278</v>
      </c>
      <c r="G29" s="165" t="s">
        <v>13</v>
      </c>
      <c r="H29" s="222" t="s">
        <v>13</v>
      </c>
      <c r="I29" s="222">
        <v>1159.8599999999999</v>
      </c>
      <c r="J29" s="223">
        <v>2046</v>
      </c>
      <c r="K29" s="161">
        <f t="shared" si="3"/>
        <v>3205.8599999999997</v>
      </c>
      <c r="L29" s="92">
        <f t="shared" si="14"/>
        <v>1159.8599999999999</v>
      </c>
      <c r="N29" s="219" t="str">
        <f t="shared" si="4"/>
        <v>OG.26</v>
      </c>
      <c r="O29" s="220" t="str">
        <f t="shared" si="5"/>
        <v xml:space="preserve">Expenditure towards ISPRL towards strategic petroleum reserves* </v>
      </c>
      <c r="P29" s="220" t="str">
        <f t="shared" si="0"/>
        <v>Direct and indirect transfer of funds and liabilities</v>
      </c>
      <c r="Q29" s="220" t="str">
        <f t="shared" si="1"/>
        <v>Consumption</v>
      </c>
      <c r="R29" s="221" t="str">
        <f t="shared" si="2"/>
        <v>Storage &amp; Transport</v>
      </c>
      <c r="S29" s="165" t="s">
        <v>13</v>
      </c>
      <c r="T29" s="222" t="s">
        <v>13</v>
      </c>
      <c r="U29" s="10">
        <f>I29*'Exchange Rates'!$H$4*10</f>
        <v>177.18309041552882</v>
      </c>
      <c r="V29" s="25">
        <f>J29*'Exchange Rates'!$I$4*10</f>
        <v>304.96530013593735</v>
      </c>
      <c r="W29" s="161">
        <f t="shared" si="15"/>
        <v>482.14839055146615</v>
      </c>
      <c r="X29" s="92">
        <f t="shared" si="16"/>
        <v>177.18309041552882</v>
      </c>
    </row>
    <row r="30" spans="2:24" x14ac:dyDescent="0.25">
      <c r="B30" s="219" t="s">
        <v>206</v>
      </c>
      <c r="C30" s="220" t="s">
        <v>112</v>
      </c>
      <c r="D30" s="220" t="s">
        <v>178</v>
      </c>
      <c r="E30" s="7" t="s">
        <v>137</v>
      </c>
      <c r="F30" s="7" t="s">
        <v>313</v>
      </c>
      <c r="G30" s="165" t="s">
        <v>13</v>
      </c>
      <c r="H30" s="222" t="s">
        <v>13</v>
      </c>
      <c r="I30" s="222">
        <f>1153</f>
        <v>1153</v>
      </c>
      <c r="J30" s="223">
        <f>2483</f>
        <v>2483</v>
      </c>
      <c r="K30" s="161">
        <f t="shared" si="3"/>
        <v>3636</v>
      </c>
      <c r="L30" s="92">
        <f t="shared" si="14"/>
        <v>1153</v>
      </c>
      <c r="N30" s="219" t="str">
        <f t="shared" si="4"/>
        <v>OG.27</v>
      </c>
      <c r="O30" s="220" t="str">
        <f t="shared" si="5"/>
        <v>Capital Outlay on Petroleum</v>
      </c>
      <c r="P30" s="220" t="str">
        <f t="shared" si="0"/>
        <v>Direct and indirect transfer of funds and liabilities</v>
      </c>
      <c r="Q30" s="220" t="str">
        <f t="shared" si="1"/>
        <v>Production</v>
      </c>
      <c r="R30" s="221" t="str">
        <f t="shared" si="2"/>
        <v>Cross-cutting through value chain</v>
      </c>
      <c r="S30" s="165" t="s">
        <v>13</v>
      </c>
      <c r="T30" s="222" t="s">
        <v>13</v>
      </c>
      <c r="U30" s="10">
        <f>I30*'Exchange Rates'!$H$4*10</f>
        <v>176.13513980058346</v>
      </c>
      <c r="V30" s="25">
        <f>J30*'Exchange Rates'!$I$4*10</f>
        <v>370.10207245236188</v>
      </c>
      <c r="W30" s="161">
        <f t="shared" si="15"/>
        <v>546.23721225294537</v>
      </c>
      <c r="X30" s="92">
        <f t="shared" si="16"/>
        <v>176.13513980058346</v>
      </c>
    </row>
    <row r="31" spans="2:24" x14ac:dyDescent="0.25">
      <c r="B31" s="219" t="s">
        <v>207</v>
      </c>
      <c r="C31" s="220" t="s">
        <v>113</v>
      </c>
      <c r="D31" s="220" t="s">
        <v>25</v>
      </c>
      <c r="E31" s="7" t="s">
        <v>137</v>
      </c>
      <c r="F31" s="7" t="s">
        <v>251</v>
      </c>
      <c r="G31" s="167" t="s">
        <v>114</v>
      </c>
      <c r="H31" s="230" t="s">
        <v>114</v>
      </c>
      <c r="I31" s="230" t="s">
        <v>114</v>
      </c>
      <c r="J31" s="231" t="s">
        <v>114</v>
      </c>
      <c r="K31" s="163" t="s">
        <v>22</v>
      </c>
      <c r="L31" s="162" t="s">
        <v>22</v>
      </c>
      <c r="N31" s="219" t="str">
        <f t="shared" si="4"/>
        <v>OG.28</v>
      </c>
      <c r="O31" s="220" t="str">
        <f t="shared" si="5"/>
        <v>Income Tax exemption to companies engaged in production of “mineral oil” from NELP blocks</v>
      </c>
      <c r="P31" s="220" t="str">
        <f t="shared" si="0"/>
        <v>Government revenue foregone</v>
      </c>
      <c r="Q31" s="220" t="str">
        <f t="shared" si="1"/>
        <v>Production</v>
      </c>
      <c r="R31" s="221" t="str">
        <f t="shared" si="2"/>
        <v>Development, extraction and preparation</v>
      </c>
      <c r="S31" s="167" t="s">
        <v>114</v>
      </c>
      <c r="T31" s="230" t="s">
        <v>114</v>
      </c>
      <c r="U31" s="230" t="s">
        <v>114</v>
      </c>
      <c r="V31" s="231" t="s">
        <v>114</v>
      </c>
      <c r="W31" s="163" t="s">
        <v>22</v>
      </c>
      <c r="X31" s="162" t="s">
        <v>22</v>
      </c>
    </row>
    <row r="32" spans="2:24" x14ac:dyDescent="0.25">
      <c r="B32" s="219" t="s">
        <v>208</v>
      </c>
      <c r="C32" s="220" t="s">
        <v>115</v>
      </c>
      <c r="D32" s="220" t="s">
        <v>25</v>
      </c>
      <c r="E32" s="7" t="s">
        <v>137</v>
      </c>
      <c r="F32" s="7" t="s">
        <v>313</v>
      </c>
      <c r="G32" s="167" t="s">
        <v>114</v>
      </c>
      <c r="H32" s="230" t="s">
        <v>114</v>
      </c>
      <c r="I32" s="230" t="s">
        <v>114</v>
      </c>
      <c r="J32" s="231" t="s">
        <v>114</v>
      </c>
      <c r="K32" s="163" t="s">
        <v>22</v>
      </c>
      <c r="L32" s="162" t="s">
        <v>22</v>
      </c>
      <c r="N32" s="219" t="str">
        <f t="shared" si="4"/>
        <v>OG.29</v>
      </c>
      <c r="O32" s="220" t="str">
        <f t="shared" si="5"/>
        <v>Differential taxes between Indian and foreign companies engaged in E&amp;P</v>
      </c>
      <c r="P32" s="220" t="str">
        <f t="shared" si="0"/>
        <v>Government revenue foregone</v>
      </c>
      <c r="Q32" s="220" t="str">
        <f t="shared" si="1"/>
        <v>Production</v>
      </c>
      <c r="R32" s="221" t="str">
        <f t="shared" si="2"/>
        <v>Cross-cutting through value chain</v>
      </c>
      <c r="S32" s="167" t="s">
        <v>114</v>
      </c>
      <c r="T32" s="230" t="s">
        <v>114</v>
      </c>
      <c r="U32" s="230" t="s">
        <v>114</v>
      </c>
      <c r="V32" s="231" t="s">
        <v>114</v>
      </c>
      <c r="W32" s="163" t="s">
        <v>22</v>
      </c>
      <c r="X32" s="162" t="s">
        <v>22</v>
      </c>
    </row>
    <row r="33" spans="2:36" x14ac:dyDescent="0.25">
      <c r="B33" s="219" t="s">
        <v>209</v>
      </c>
      <c r="C33" s="220" t="s">
        <v>116</v>
      </c>
      <c r="D33" s="220" t="s">
        <v>25</v>
      </c>
      <c r="E33" s="7" t="s">
        <v>138</v>
      </c>
      <c r="F33" s="7" t="s">
        <v>313</v>
      </c>
      <c r="G33" s="167" t="s">
        <v>114</v>
      </c>
      <c r="H33" s="230" t="s">
        <v>114</v>
      </c>
      <c r="I33" s="230" t="s">
        <v>114</v>
      </c>
      <c r="J33" s="231" t="s">
        <v>114</v>
      </c>
      <c r="K33" s="163" t="s">
        <v>22</v>
      </c>
      <c r="L33" s="162" t="s">
        <v>22</v>
      </c>
      <c r="N33" s="219" t="str">
        <f t="shared" si="4"/>
        <v>OG.30</v>
      </c>
      <c r="O33" s="220" t="str">
        <f t="shared" si="5"/>
        <v>Income Tax exemption to foreign companies involved in storage and selling of crude oil in India</v>
      </c>
      <c r="P33" s="220" t="str">
        <f t="shared" si="0"/>
        <v>Government revenue foregone</v>
      </c>
      <c r="Q33" s="220" t="str">
        <f t="shared" si="1"/>
        <v>Consumption</v>
      </c>
      <c r="R33" s="221" t="str">
        <f t="shared" si="2"/>
        <v>Cross-cutting through value chain</v>
      </c>
      <c r="S33" s="167" t="s">
        <v>114</v>
      </c>
      <c r="T33" s="230" t="s">
        <v>114</v>
      </c>
      <c r="U33" s="230" t="s">
        <v>114</v>
      </c>
      <c r="V33" s="231" t="s">
        <v>114</v>
      </c>
      <c r="W33" s="163" t="s">
        <v>22</v>
      </c>
      <c r="X33" s="162" t="s">
        <v>22</v>
      </c>
    </row>
    <row r="34" spans="2:36" x14ac:dyDescent="0.25">
      <c r="B34" s="219" t="s">
        <v>210</v>
      </c>
      <c r="C34" s="220" t="s">
        <v>117</v>
      </c>
      <c r="D34" s="220" t="s">
        <v>25</v>
      </c>
      <c r="E34" s="7" t="s">
        <v>137</v>
      </c>
      <c r="F34" s="7" t="s">
        <v>313</v>
      </c>
      <c r="G34" s="167" t="s">
        <v>114</v>
      </c>
      <c r="H34" s="230" t="s">
        <v>114</v>
      </c>
      <c r="I34" s="230" t="s">
        <v>114</v>
      </c>
      <c r="J34" s="231" t="s">
        <v>114</v>
      </c>
      <c r="K34" s="163" t="s">
        <v>22</v>
      </c>
      <c r="L34" s="162" t="s">
        <v>22</v>
      </c>
      <c r="N34" s="219" t="str">
        <f t="shared" si="4"/>
        <v>OG.31</v>
      </c>
      <c r="O34" s="220" t="str">
        <f t="shared" si="5"/>
        <v>Special allowances to companies engaged in E&amp;P</v>
      </c>
      <c r="P34" s="220" t="str">
        <f t="shared" si="0"/>
        <v>Government revenue foregone</v>
      </c>
      <c r="Q34" s="220" t="str">
        <f t="shared" si="1"/>
        <v>Production</v>
      </c>
      <c r="R34" s="221" t="str">
        <f t="shared" si="2"/>
        <v>Cross-cutting through value chain</v>
      </c>
      <c r="S34" s="167" t="s">
        <v>114</v>
      </c>
      <c r="T34" s="230" t="s">
        <v>114</v>
      </c>
      <c r="U34" s="230" t="s">
        <v>114</v>
      </c>
      <c r="V34" s="231" t="s">
        <v>114</v>
      </c>
      <c r="W34" s="163" t="s">
        <v>22</v>
      </c>
      <c r="X34" s="162" t="s">
        <v>22</v>
      </c>
    </row>
    <row r="35" spans="2:36" x14ac:dyDescent="0.25">
      <c r="B35" s="219" t="s">
        <v>211</v>
      </c>
      <c r="C35" s="220" t="s">
        <v>118</v>
      </c>
      <c r="D35" s="220" t="s">
        <v>25</v>
      </c>
      <c r="E35" s="7" t="s">
        <v>137</v>
      </c>
      <c r="F35" s="7" t="s">
        <v>254</v>
      </c>
      <c r="G35" s="167" t="s">
        <v>114</v>
      </c>
      <c r="H35" s="230" t="s">
        <v>114</v>
      </c>
      <c r="I35" s="230" t="s">
        <v>114</v>
      </c>
      <c r="J35" s="231" t="s">
        <v>114</v>
      </c>
      <c r="K35" s="163" t="s">
        <v>22</v>
      </c>
      <c r="L35" s="162" t="s">
        <v>22</v>
      </c>
      <c r="N35" s="219" t="str">
        <f t="shared" si="4"/>
        <v>OG.32</v>
      </c>
      <c r="O35" s="220" t="str">
        <f t="shared" si="5"/>
        <v>Special Allowance/Deduction for site restoration expenses</v>
      </c>
      <c r="P35" s="220" t="str">
        <f t="shared" si="0"/>
        <v>Government revenue foregone</v>
      </c>
      <c r="Q35" s="220" t="str">
        <f t="shared" si="1"/>
        <v>Production</v>
      </c>
      <c r="R35" s="221" t="str">
        <f t="shared" si="2"/>
        <v>Decommissioning and rehabilitation</v>
      </c>
      <c r="S35" s="167" t="s">
        <v>114</v>
      </c>
      <c r="T35" s="230" t="s">
        <v>114</v>
      </c>
      <c r="U35" s="230" t="s">
        <v>114</v>
      </c>
      <c r="V35" s="231" t="s">
        <v>114</v>
      </c>
      <c r="W35" s="163" t="s">
        <v>22</v>
      </c>
      <c r="X35" s="162" t="s">
        <v>22</v>
      </c>
    </row>
    <row r="36" spans="2:36" x14ac:dyDescent="0.25">
      <c r="B36" s="219" t="s">
        <v>212</v>
      </c>
      <c r="C36" s="220" t="s">
        <v>247</v>
      </c>
      <c r="D36" s="220" t="s">
        <v>25</v>
      </c>
      <c r="E36" s="7" t="s">
        <v>137</v>
      </c>
      <c r="F36" s="7" t="s">
        <v>251</v>
      </c>
      <c r="G36" s="167" t="s">
        <v>114</v>
      </c>
      <c r="H36" s="230" t="s">
        <v>114</v>
      </c>
      <c r="I36" s="230" t="s">
        <v>114</v>
      </c>
      <c r="J36" s="231" t="s">
        <v>114</v>
      </c>
      <c r="K36" s="163" t="s">
        <v>22</v>
      </c>
      <c r="L36" s="162" t="s">
        <v>22</v>
      </c>
      <c r="N36" s="219" t="str">
        <f t="shared" si="4"/>
        <v>OG.33</v>
      </c>
      <c r="O36" s="220" t="str">
        <f t="shared" si="5"/>
        <v xml:space="preserve"> Accelerated Depreciation on specified assets for mineral oil exploration</v>
      </c>
      <c r="P36" s="220" t="str">
        <f t="shared" si="0"/>
        <v>Government revenue foregone</v>
      </c>
      <c r="Q36" s="220" t="str">
        <f t="shared" si="1"/>
        <v>Production</v>
      </c>
      <c r="R36" s="221" t="str">
        <f t="shared" si="2"/>
        <v>Development, extraction and preparation</v>
      </c>
      <c r="S36" s="167" t="s">
        <v>114</v>
      </c>
      <c r="T36" s="230" t="s">
        <v>114</v>
      </c>
      <c r="U36" s="230" t="s">
        <v>114</v>
      </c>
      <c r="V36" s="231" t="s">
        <v>114</v>
      </c>
      <c r="W36" s="163" t="s">
        <v>22</v>
      </c>
      <c r="X36" s="162" t="s">
        <v>22</v>
      </c>
    </row>
    <row r="37" spans="2:36" x14ac:dyDescent="0.25">
      <c r="B37" s="219" t="s">
        <v>213</v>
      </c>
      <c r="C37" s="220" t="s">
        <v>119</v>
      </c>
      <c r="D37" s="220" t="s">
        <v>25</v>
      </c>
      <c r="E37" s="7" t="s">
        <v>137</v>
      </c>
      <c r="F37" s="7" t="s">
        <v>313</v>
      </c>
      <c r="G37" s="167" t="s">
        <v>114</v>
      </c>
      <c r="H37" s="230" t="s">
        <v>114</v>
      </c>
      <c r="I37" s="230" t="s">
        <v>114</v>
      </c>
      <c r="J37" s="231" t="s">
        <v>114</v>
      </c>
      <c r="K37" s="163" t="s">
        <v>22</v>
      </c>
      <c r="L37" s="162" t="s">
        <v>22</v>
      </c>
      <c r="N37" s="219" t="str">
        <f t="shared" si="4"/>
        <v>OG.34</v>
      </c>
      <c r="O37" s="220" t="str">
        <f t="shared" si="5"/>
        <v xml:space="preserve">Allowance for investment in new machinery </v>
      </c>
      <c r="P37" s="220" t="str">
        <f t="shared" si="0"/>
        <v>Government revenue foregone</v>
      </c>
      <c r="Q37" s="220" t="str">
        <f t="shared" si="1"/>
        <v>Production</v>
      </c>
      <c r="R37" s="221" t="str">
        <f t="shared" si="2"/>
        <v>Cross-cutting through value chain</v>
      </c>
      <c r="S37" s="167" t="s">
        <v>114</v>
      </c>
      <c r="T37" s="230" t="s">
        <v>114</v>
      </c>
      <c r="U37" s="230" t="s">
        <v>114</v>
      </c>
      <c r="V37" s="231" t="s">
        <v>114</v>
      </c>
      <c r="W37" s="163" t="s">
        <v>22</v>
      </c>
      <c r="X37" s="162" t="s">
        <v>22</v>
      </c>
    </row>
    <row r="38" spans="2:36" x14ac:dyDescent="0.25">
      <c r="B38" s="91" t="s">
        <v>214</v>
      </c>
      <c r="C38" s="19" t="s">
        <v>120</v>
      </c>
      <c r="D38" s="19" t="s">
        <v>25</v>
      </c>
      <c r="E38" s="7" t="s">
        <v>271</v>
      </c>
      <c r="F38" s="7" t="s">
        <v>278</v>
      </c>
      <c r="G38" s="167" t="s">
        <v>114</v>
      </c>
      <c r="H38" s="21" t="s">
        <v>114</v>
      </c>
      <c r="I38" s="21" t="s">
        <v>114</v>
      </c>
      <c r="J38" s="115" t="s">
        <v>114</v>
      </c>
      <c r="K38" s="163" t="s">
        <v>22</v>
      </c>
      <c r="L38" s="162" t="s">
        <v>22</v>
      </c>
      <c r="N38" s="219" t="str">
        <f t="shared" si="4"/>
        <v>OG.35</v>
      </c>
      <c r="O38" s="220" t="str">
        <f t="shared" si="5"/>
        <v>Allowance/Incentives for investment in cross-country pipeline network for distribution and storage facilities</v>
      </c>
      <c r="P38" s="220" t="str">
        <f t="shared" si="0"/>
        <v>Government revenue foregone</v>
      </c>
      <c r="Q38" s="220" t="str">
        <f t="shared" si="1"/>
        <v>Production and Consumption</v>
      </c>
      <c r="R38" s="221" t="str">
        <f t="shared" si="2"/>
        <v>Storage &amp; Transport</v>
      </c>
      <c r="S38" s="167" t="s">
        <v>114</v>
      </c>
      <c r="T38" s="230" t="s">
        <v>114</v>
      </c>
      <c r="U38" s="230" t="s">
        <v>114</v>
      </c>
      <c r="V38" s="231" t="s">
        <v>114</v>
      </c>
      <c r="W38" s="163" t="s">
        <v>22</v>
      </c>
      <c r="X38" s="162" t="s">
        <v>22</v>
      </c>
    </row>
    <row r="39" spans="2:36" x14ac:dyDescent="0.25">
      <c r="B39" s="91" t="s">
        <v>215</v>
      </c>
      <c r="C39" s="19" t="s">
        <v>121</v>
      </c>
      <c r="D39" s="19" t="s">
        <v>25</v>
      </c>
      <c r="E39" s="7" t="s">
        <v>271</v>
      </c>
      <c r="F39" s="7" t="s">
        <v>279</v>
      </c>
      <c r="G39" s="167" t="s">
        <v>114</v>
      </c>
      <c r="H39" s="21" t="s">
        <v>114</v>
      </c>
      <c r="I39" s="21" t="s">
        <v>114</v>
      </c>
      <c r="J39" s="115" t="s">
        <v>114</v>
      </c>
      <c r="K39" s="163" t="s">
        <v>22</v>
      </c>
      <c r="L39" s="162" t="s">
        <v>22</v>
      </c>
      <c r="N39" s="219" t="str">
        <f t="shared" si="4"/>
        <v>OG.36</v>
      </c>
      <c r="O39" s="220" t="str">
        <f t="shared" si="5"/>
        <v>Allowance/Incentives for capital expenditure on research</v>
      </c>
      <c r="P39" s="220" t="str">
        <f t="shared" si="0"/>
        <v>Government revenue foregone</v>
      </c>
      <c r="Q39" s="220" t="str">
        <f t="shared" si="1"/>
        <v>Production and Consumption</v>
      </c>
      <c r="R39" s="221" t="str">
        <f t="shared" si="2"/>
        <v>Research</v>
      </c>
      <c r="S39" s="167" t="s">
        <v>114</v>
      </c>
      <c r="T39" s="230" t="s">
        <v>114</v>
      </c>
      <c r="U39" s="230" t="s">
        <v>114</v>
      </c>
      <c r="V39" s="231" t="s">
        <v>114</v>
      </c>
      <c r="W39" s="163" t="s">
        <v>22</v>
      </c>
      <c r="X39" s="162" t="s">
        <v>22</v>
      </c>
    </row>
    <row r="40" spans="2:36" x14ac:dyDescent="0.25">
      <c r="B40" s="91" t="s">
        <v>216</v>
      </c>
      <c r="C40" s="19" t="s">
        <v>122</v>
      </c>
      <c r="D40" s="19" t="s">
        <v>25</v>
      </c>
      <c r="E40" s="7" t="s">
        <v>137</v>
      </c>
      <c r="F40" s="7" t="s">
        <v>313</v>
      </c>
      <c r="G40" s="167" t="s">
        <v>114</v>
      </c>
      <c r="H40" s="21" t="s">
        <v>114</v>
      </c>
      <c r="I40" s="21" t="s">
        <v>114</v>
      </c>
      <c r="J40" s="115" t="s">
        <v>114</v>
      </c>
      <c r="K40" s="163" t="s">
        <v>22</v>
      </c>
      <c r="L40" s="162" t="s">
        <v>22</v>
      </c>
      <c r="N40" s="219" t="str">
        <f t="shared" si="4"/>
        <v>OG.37</v>
      </c>
      <c r="O40" s="19" t="str">
        <f t="shared" si="5"/>
        <v xml:space="preserve">Customs duty exemption to  import of specified goods required for petroleum operations </v>
      </c>
      <c r="P40" s="19" t="str">
        <f t="shared" si="0"/>
        <v>Government revenue foregone</v>
      </c>
      <c r="Q40" s="19" t="str">
        <f t="shared" si="1"/>
        <v>Production</v>
      </c>
      <c r="R40" s="172" t="str">
        <f t="shared" si="2"/>
        <v>Cross-cutting through value chain</v>
      </c>
      <c r="S40" s="167" t="s">
        <v>114</v>
      </c>
      <c r="T40" s="21" t="s">
        <v>114</v>
      </c>
      <c r="U40" s="21" t="s">
        <v>114</v>
      </c>
      <c r="V40" s="115" t="s">
        <v>114</v>
      </c>
      <c r="W40" s="163" t="s">
        <v>22</v>
      </c>
      <c r="X40" s="162" t="s">
        <v>22</v>
      </c>
    </row>
    <row r="41" spans="2:36" ht="13.8" thickBot="1" x14ac:dyDescent="0.3">
      <c r="B41" s="91" t="s">
        <v>248</v>
      </c>
      <c r="C41" s="19" t="s">
        <v>123</v>
      </c>
      <c r="D41" s="19" t="s">
        <v>179</v>
      </c>
      <c r="E41" s="7" t="s">
        <v>137</v>
      </c>
      <c r="F41" s="7" t="s">
        <v>251</v>
      </c>
      <c r="G41" s="167" t="s">
        <v>114</v>
      </c>
      <c r="H41" s="21" t="s">
        <v>114</v>
      </c>
      <c r="I41" s="21" t="s">
        <v>114</v>
      </c>
      <c r="J41" s="115" t="s">
        <v>114</v>
      </c>
      <c r="K41" s="163" t="s">
        <v>22</v>
      </c>
      <c r="L41" s="162" t="s">
        <v>22</v>
      </c>
      <c r="N41" s="219" t="str">
        <f t="shared" si="4"/>
        <v>OG.38</v>
      </c>
      <c r="O41" s="19" t="str">
        <f t="shared" si="5"/>
        <v>Concessional Royalty under Hydrocarbon Exploration and Licensing Policy (HELP)</v>
      </c>
      <c r="P41" s="19" t="str">
        <f t="shared" si="0"/>
        <v>Provision of goods and services below market value</v>
      </c>
      <c r="Q41" s="19" t="str">
        <f t="shared" si="1"/>
        <v>Production</v>
      </c>
      <c r="R41" s="172" t="str">
        <f t="shared" si="2"/>
        <v>Development, extraction and preparation</v>
      </c>
      <c r="S41" s="167" t="s">
        <v>114</v>
      </c>
      <c r="T41" s="21" t="s">
        <v>114</v>
      </c>
      <c r="U41" s="21" t="s">
        <v>114</v>
      </c>
      <c r="V41" s="115" t="s">
        <v>114</v>
      </c>
      <c r="W41" s="163" t="s">
        <v>22</v>
      </c>
      <c r="X41" s="162" t="s">
        <v>22</v>
      </c>
    </row>
    <row r="42" spans="2:36" ht="13.8" thickBot="1" x14ac:dyDescent="0.3">
      <c r="B42" s="155"/>
      <c r="C42" s="156" t="s">
        <v>1</v>
      </c>
      <c r="D42" s="156"/>
      <c r="E42" s="157"/>
      <c r="F42" s="169"/>
      <c r="G42" s="158">
        <f t="shared" ref="G42:L42" si="17">SUM(G4:G41)</f>
        <v>157678.32993811436</v>
      </c>
      <c r="H42" s="158">
        <f t="shared" si="17"/>
        <v>87483.080361293512</v>
      </c>
      <c r="I42" s="158">
        <f t="shared" si="17"/>
        <v>44654.399713068466</v>
      </c>
      <c r="J42" s="159">
        <f t="shared" si="17"/>
        <v>34724.03309826176</v>
      </c>
      <c r="K42" s="160">
        <f t="shared" si="17"/>
        <v>324539.84311073803</v>
      </c>
      <c r="L42" s="159">
        <f t="shared" si="17"/>
        <v>112801.45000415877</v>
      </c>
      <c r="N42" s="248"/>
      <c r="O42" s="156" t="s">
        <v>1</v>
      </c>
      <c r="P42" s="156"/>
      <c r="Q42" s="157"/>
      <c r="R42" s="169"/>
      <c r="S42" s="158">
        <f t="shared" ref="S42:X42" si="18">SUM(S4:S41)</f>
        <v>26064.166654095268</v>
      </c>
      <c r="T42" s="158">
        <f t="shared" si="18"/>
        <v>14306.987634948066</v>
      </c>
      <c r="U42" s="158">
        <f t="shared" si="18"/>
        <v>6821.5168570446194</v>
      </c>
      <c r="V42" s="159">
        <f t="shared" si="18"/>
        <v>5175.7698806166281</v>
      </c>
      <c r="W42" s="160">
        <f t="shared" si="18"/>
        <v>52368.44102670459</v>
      </c>
      <c r="X42" s="159">
        <f t="shared" si="18"/>
        <v>18372.459334187712</v>
      </c>
    </row>
    <row r="43" spans="2:36" x14ac:dyDescent="0.25"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2:36" x14ac:dyDescent="0.25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2:36" ht="13.8" thickBot="1" x14ac:dyDescent="0.3">
      <c r="B45" s="244"/>
      <c r="C45" s="15" t="s">
        <v>316</v>
      </c>
      <c r="D45" s="245"/>
      <c r="E45" s="245"/>
      <c r="F45" s="245"/>
      <c r="G45" s="245"/>
      <c r="H45" s="245"/>
      <c r="I45" s="245"/>
      <c r="J45" s="245"/>
      <c r="K45" s="245"/>
      <c r="L45" s="245"/>
      <c r="N45" s="249" t="s">
        <v>327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2:36" ht="13.5" customHeight="1" x14ac:dyDescent="0.25">
      <c r="B46" s="87" t="s">
        <v>128</v>
      </c>
      <c r="C46" s="88" t="s">
        <v>3</v>
      </c>
      <c r="D46" s="88" t="s">
        <v>310</v>
      </c>
      <c r="E46" s="88" t="s">
        <v>311</v>
      </c>
      <c r="F46" s="88" t="s">
        <v>312</v>
      </c>
      <c r="G46" s="89" t="s">
        <v>286</v>
      </c>
      <c r="H46" s="86" t="s">
        <v>287</v>
      </c>
      <c r="I46" s="86" t="s">
        <v>288</v>
      </c>
      <c r="J46" s="90" t="s">
        <v>289</v>
      </c>
      <c r="K46" s="87" t="s">
        <v>1</v>
      </c>
      <c r="L46" s="47" t="s">
        <v>309</v>
      </c>
      <c r="M46" s="18"/>
      <c r="N46" s="247" t="s">
        <v>128</v>
      </c>
      <c r="O46" s="88" t="s">
        <v>3</v>
      </c>
      <c r="P46" s="88" t="s">
        <v>310</v>
      </c>
      <c r="Q46" s="88" t="s">
        <v>311</v>
      </c>
      <c r="R46" s="88" t="s">
        <v>312</v>
      </c>
      <c r="S46" s="89" t="s">
        <v>286</v>
      </c>
      <c r="T46" s="86" t="s">
        <v>287</v>
      </c>
      <c r="U46" s="86" t="s">
        <v>288</v>
      </c>
      <c r="V46" s="90" t="s">
        <v>289</v>
      </c>
      <c r="W46" s="87" t="s">
        <v>1</v>
      </c>
      <c r="X46" s="47" t="s">
        <v>309</v>
      </c>
    </row>
    <row r="47" spans="2:36" s="170" customFormat="1" ht="13.8" thickBot="1" x14ac:dyDescent="0.3">
      <c r="B47" s="182" t="s">
        <v>249</v>
      </c>
      <c r="C47" s="183" t="s">
        <v>250</v>
      </c>
      <c r="D47" s="183" t="s">
        <v>35</v>
      </c>
      <c r="E47" s="190" t="s">
        <v>138</v>
      </c>
      <c r="F47" s="184" t="s">
        <v>273</v>
      </c>
      <c r="G47" s="168" t="s">
        <v>114</v>
      </c>
      <c r="H47" s="154" t="s">
        <v>114</v>
      </c>
      <c r="I47" s="154" t="s">
        <v>114</v>
      </c>
      <c r="J47" s="171" t="s">
        <v>114</v>
      </c>
      <c r="K47" s="117" t="s">
        <v>22</v>
      </c>
      <c r="L47" s="153" t="s">
        <v>22</v>
      </c>
      <c r="N47" s="182" t="str">
        <f t="shared" ref="N47" si="19">B47</f>
        <v>OG.39</v>
      </c>
      <c r="O47" s="151" t="str">
        <f t="shared" ref="O47" si="20">C47</f>
        <v>Anila Bhagya</v>
      </c>
      <c r="P47" s="151" t="str">
        <f t="shared" ref="P47" si="21">D47</f>
        <v>Provision of goods or services below market value</v>
      </c>
      <c r="Q47" s="151" t="str">
        <f t="shared" ref="Q47" si="22">E47</f>
        <v>Consumption</v>
      </c>
      <c r="R47" s="185" t="str">
        <f t="shared" ref="R47" si="23">F47</f>
        <v>Consumers</v>
      </c>
      <c r="S47" s="168" t="s">
        <v>114</v>
      </c>
      <c r="T47" s="154" t="s">
        <v>114</v>
      </c>
      <c r="U47" s="154" t="s">
        <v>114</v>
      </c>
      <c r="V47" s="171" t="s">
        <v>114</v>
      </c>
      <c r="W47" s="117" t="s">
        <v>22</v>
      </c>
      <c r="X47" s="153" t="s">
        <v>22</v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2:36" ht="13.8" thickBot="1" x14ac:dyDescent="0.3">
      <c r="B48" s="155"/>
      <c r="C48" s="156" t="s">
        <v>1</v>
      </c>
      <c r="D48" s="156"/>
      <c r="E48" s="157"/>
      <c r="F48" s="169"/>
      <c r="G48" s="158" t="str">
        <f>G47</f>
        <v>not computed</v>
      </c>
      <c r="H48" s="158" t="str">
        <f t="shared" ref="H48:J48" si="24">H47</f>
        <v>not computed</v>
      </c>
      <c r="I48" s="158" t="str">
        <f t="shared" si="24"/>
        <v>not computed</v>
      </c>
      <c r="J48" s="158" t="str">
        <f t="shared" si="24"/>
        <v>not computed</v>
      </c>
      <c r="K48" s="158" t="str">
        <f t="shared" ref="K48" si="25">K47</f>
        <v>-</v>
      </c>
      <c r="L48" s="158" t="str">
        <f t="shared" ref="L48" si="26">L47</f>
        <v>-</v>
      </c>
      <c r="N48" s="248"/>
      <c r="O48" s="156" t="s">
        <v>1</v>
      </c>
      <c r="P48" s="156"/>
      <c r="Q48" s="157"/>
      <c r="R48" s="169"/>
      <c r="S48" s="158" t="str">
        <f>S47</f>
        <v>not computed</v>
      </c>
      <c r="T48" s="158" t="str">
        <f t="shared" ref="T48:X48" si="27">T47</f>
        <v>not computed</v>
      </c>
      <c r="U48" s="158" t="str">
        <f t="shared" si="27"/>
        <v>not computed</v>
      </c>
      <c r="V48" s="158" t="str">
        <f t="shared" si="27"/>
        <v>not computed</v>
      </c>
      <c r="W48" s="158" t="str">
        <f t="shared" si="27"/>
        <v>-</v>
      </c>
      <c r="X48" s="158" t="str">
        <f t="shared" si="27"/>
        <v>-</v>
      </c>
    </row>
    <row r="49" spans="1:36" s="170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50"/>
      <c r="Q49" s="250"/>
      <c r="R49" s="250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4"/>
      <c r="AH49" s="14"/>
      <c r="AI49" s="14"/>
      <c r="AJ49" s="14"/>
    </row>
    <row r="50" spans="1:36" x14ac:dyDescent="0.25">
      <c r="B50" s="14"/>
      <c r="G50" s="14"/>
      <c r="H50" s="14"/>
      <c r="I50" s="14"/>
      <c r="J50" s="14"/>
      <c r="K50" s="14"/>
      <c r="L50" s="14"/>
      <c r="N50" s="14"/>
      <c r="W50" s="16"/>
      <c r="Y50" s="16"/>
      <c r="Z50" s="16"/>
      <c r="AA50" s="16"/>
      <c r="AB50" s="16"/>
      <c r="AC50" s="16"/>
      <c r="AD50" s="16"/>
      <c r="AE50" s="16"/>
      <c r="AF50" s="16"/>
    </row>
    <row r="51" spans="1:36" x14ac:dyDescent="0.25">
      <c r="B51" s="106" t="s">
        <v>246</v>
      </c>
      <c r="E51" s="16"/>
      <c r="F51" s="16"/>
      <c r="G51" s="194"/>
      <c r="H51" s="193"/>
      <c r="I51" s="193"/>
      <c r="J51" s="193"/>
      <c r="K51" s="22"/>
      <c r="L51" s="14"/>
      <c r="N51" s="14"/>
      <c r="Q51" s="16"/>
      <c r="R51" s="16"/>
      <c r="W51" s="16"/>
      <c r="Y51" s="16"/>
      <c r="Z51" s="16"/>
      <c r="AA51" s="16"/>
      <c r="AB51" s="16"/>
      <c r="AC51" s="16"/>
      <c r="AD51" s="16"/>
      <c r="AE51" s="16"/>
      <c r="AF51" s="16"/>
    </row>
    <row r="52" spans="1:36" x14ac:dyDescent="0.25">
      <c r="B52" s="14" t="s">
        <v>124</v>
      </c>
      <c r="E52" s="16"/>
      <c r="F52" s="16"/>
      <c r="K52" s="16"/>
      <c r="L52" s="14"/>
      <c r="N52" s="14"/>
      <c r="Q52" s="16"/>
      <c r="R52" s="16"/>
      <c r="W52" s="16"/>
      <c r="Y52" s="16"/>
      <c r="Z52" s="16"/>
      <c r="AA52" s="16"/>
      <c r="AB52" s="16"/>
      <c r="AC52" s="16"/>
      <c r="AD52" s="16"/>
      <c r="AE52" s="16"/>
      <c r="AF52" s="16"/>
    </row>
    <row r="53" spans="1:36" x14ac:dyDescent="0.25">
      <c r="B53" s="14" t="s">
        <v>125</v>
      </c>
      <c r="E53" s="16"/>
      <c r="F53" s="16"/>
      <c r="K53" s="16"/>
      <c r="L53" s="14"/>
      <c r="N53" s="14"/>
      <c r="Q53" s="16"/>
      <c r="R53" s="16"/>
      <c r="W53" s="16"/>
      <c r="Y53" s="16"/>
      <c r="Z53" s="16"/>
      <c r="AA53" s="16"/>
      <c r="AB53" s="16"/>
      <c r="AC53" s="16"/>
      <c r="AD53" s="16"/>
      <c r="AE53" s="16"/>
      <c r="AF53" s="16"/>
    </row>
    <row r="54" spans="1:36" x14ac:dyDescent="0.25">
      <c r="B54" s="14" t="s">
        <v>126</v>
      </c>
      <c r="E54" s="16"/>
      <c r="F54" s="16"/>
      <c r="K54" s="16"/>
      <c r="L54" s="14"/>
      <c r="N54" s="14"/>
      <c r="Q54" s="16"/>
      <c r="R54" s="16"/>
      <c r="W54" s="16"/>
      <c r="Y54" s="16"/>
      <c r="Z54" s="16"/>
      <c r="AA54" s="16"/>
      <c r="AB54" s="16"/>
      <c r="AC54" s="16"/>
      <c r="AD54" s="16"/>
      <c r="AE54" s="16"/>
      <c r="AF54" s="16"/>
    </row>
    <row r="55" spans="1:36" x14ac:dyDescent="0.25">
      <c r="B55" s="14" t="s">
        <v>127</v>
      </c>
      <c r="E55" s="16"/>
      <c r="F55" s="16"/>
      <c r="K55" s="16"/>
      <c r="L55" s="14"/>
      <c r="N55" s="14"/>
      <c r="Q55" s="16"/>
      <c r="R55" s="16"/>
      <c r="W55" s="16"/>
      <c r="Y55" s="16"/>
      <c r="Z55" s="16"/>
      <c r="AA55" s="16"/>
      <c r="AB55" s="16"/>
      <c r="AC55" s="16"/>
      <c r="AD55" s="16"/>
      <c r="AE55" s="16"/>
      <c r="AF55" s="16"/>
    </row>
    <row r="56" spans="1:36" x14ac:dyDescent="0.25">
      <c r="N56" s="14"/>
      <c r="W56" s="16"/>
      <c r="Y56" s="16"/>
      <c r="Z56" s="16"/>
      <c r="AA56" s="16"/>
      <c r="AB56" s="16"/>
      <c r="AC56" s="16"/>
      <c r="AD56" s="16"/>
      <c r="AE56" s="16"/>
      <c r="AF56" s="16"/>
    </row>
    <row r="57" spans="1:36" x14ac:dyDescent="0.25">
      <c r="K57" s="14"/>
      <c r="L57" s="14"/>
      <c r="N57" s="14"/>
      <c r="W57" s="16"/>
      <c r="Y57" s="16"/>
      <c r="Z57" s="16"/>
      <c r="AA57" s="16"/>
      <c r="AB57" s="16"/>
      <c r="AC57" s="16"/>
      <c r="AD57" s="16"/>
      <c r="AE57" s="16"/>
      <c r="AF57" s="16"/>
    </row>
    <row r="58" spans="1:36" x14ac:dyDescent="0.25">
      <c r="K58" s="14"/>
      <c r="L58" s="14"/>
      <c r="N58" s="14"/>
      <c r="W58" s="16"/>
      <c r="Y58" s="16"/>
      <c r="Z58" s="16"/>
      <c r="AA58" s="16"/>
      <c r="AB58" s="16"/>
      <c r="AC58" s="16"/>
      <c r="AD58" s="16"/>
      <c r="AE58" s="16"/>
      <c r="AF58" s="16"/>
    </row>
    <row r="59" spans="1:36" x14ac:dyDescent="0.25">
      <c r="K59" s="14"/>
      <c r="L59" s="14"/>
      <c r="N59" s="14"/>
      <c r="W59" s="16"/>
      <c r="Y59" s="16"/>
      <c r="Z59" s="16"/>
      <c r="AA59" s="16"/>
      <c r="AB59" s="16"/>
      <c r="AC59" s="16"/>
      <c r="AD59" s="16"/>
      <c r="AE59" s="16"/>
      <c r="AF59" s="16"/>
    </row>
    <row r="60" spans="1:36" x14ac:dyDescent="0.25">
      <c r="K60" s="14"/>
      <c r="L60" s="14"/>
      <c r="N60" s="14"/>
      <c r="W60" s="16"/>
      <c r="Y60" s="16"/>
      <c r="Z60" s="16"/>
      <c r="AA60" s="16"/>
      <c r="AB60" s="16"/>
      <c r="AC60" s="16"/>
      <c r="AD60" s="16"/>
      <c r="AE60" s="16"/>
      <c r="AF60" s="16"/>
    </row>
    <row r="61" spans="1:36" x14ac:dyDescent="0.25">
      <c r="K61" s="14"/>
      <c r="L61" s="14"/>
      <c r="N61" s="14"/>
      <c r="W61" s="16"/>
      <c r="Y61" s="16"/>
      <c r="Z61" s="16"/>
      <c r="AA61" s="16"/>
      <c r="AB61" s="16"/>
      <c r="AC61" s="16"/>
      <c r="AD61" s="16"/>
      <c r="AE61" s="16"/>
      <c r="AF61" s="16"/>
    </row>
    <row r="62" spans="1:36" x14ac:dyDescent="0.25">
      <c r="K62" s="14"/>
      <c r="L62" s="14"/>
      <c r="N62" s="14"/>
    </row>
    <row r="63" spans="1:36" x14ac:dyDescent="0.25">
      <c r="K63" s="14"/>
      <c r="L63" s="14"/>
      <c r="N63" s="14"/>
    </row>
    <row r="64" spans="1:36" x14ac:dyDescent="0.25">
      <c r="N64" s="14"/>
    </row>
    <row r="65" spans="14:14" x14ac:dyDescent="0.25">
      <c r="N65" s="14"/>
    </row>
    <row r="66" spans="14:14" x14ac:dyDescent="0.25">
      <c r="N66" s="14"/>
    </row>
    <row r="67" spans="14:14" x14ac:dyDescent="0.25">
      <c r="N67" s="14"/>
    </row>
    <row r="68" spans="14:14" x14ac:dyDescent="0.25">
      <c r="N68" s="14"/>
    </row>
    <row r="69" spans="14:14" x14ac:dyDescent="0.25">
      <c r="N69" s="14"/>
    </row>
    <row r="70" spans="14:14" x14ac:dyDescent="0.25">
      <c r="N70" s="14"/>
    </row>
    <row r="71" spans="14:14" x14ac:dyDescent="0.25">
      <c r="N71" s="14"/>
    </row>
    <row r="72" spans="14:14" x14ac:dyDescent="0.25">
      <c r="N72" s="14"/>
    </row>
    <row r="73" spans="14:14" x14ac:dyDescent="0.25">
      <c r="N73" s="14"/>
    </row>
    <row r="74" spans="14:14" x14ac:dyDescent="0.25">
      <c r="N74" s="14"/>
    </row>
    <row r="75" spans="14:14" x14ac:dyDescent="0.25">
      <c r="N75" s="14"/>
    </row>
    <row r="76" spans="14:14" x14ac:dyDescent="0.25">
      <c r="N76" s="14"/>
    </row>
    <row r="77" spans="14:14" x14ac:dyDescent="0.25">
      <c r="N77" s="14"/>
    </row>
    <row r="78" spans="14:14" x14ac:dyDescent="0.25">
      <c r="N78" s="14"/>
    </row>
    <row r="79" spans="14:14" x14ac:dyDescent="0.25">
      <c r="N79" s="14"/>
    </row>
    <row r="80" spans="14:14" x14ac:dyDescent="0.25">
      <c r="N80" s="14"/>
    </row>
    <row r="81" spans="14:14" x14ac:dyDescent="0.25">
      <c r="N81" s="14"/>
    </row>
    <row r="82" spans="14:14" x14ac:dyDescent="0.25">
      <c r="N82" s="14"/>
    </row>
    <row r="83" spans="14:14" x14ac:dyDescent="0.25">
      <c r="N83" s="14"/>
    </row>
    <row r="84" spans="14:14" x14ac:dyDescent="0.25">
      <c r="N84" s="14"/>
    </row>
    <row r="85" spans="14:14" x14ac:dyDescent="0.25">
      <c r="N85" s="14"/>
    </row>
    <row r="86" spans="14:14" x14ac:dyDescent="0.25">
      <c r="N86" s="14"/>
    </row>
    <row r="87" spans="14:14" x14ac:dyDescent="0.25">
      <c r="N87" s="14"/>
    </row>
    <row r="88" spans="14:14" x14ac:dyDescent="0.25">
      <c r="N88" s="14"/>
    </row>
    <row r="89" spans="14:14" x14ac:dyDescent="0.25">
      <c r="N89" s="14"/>
    </row>
    <row r="90" spans="14:14" x14ac:dyDescent="0.25">
      <c r="N90" s="14"/>
    </row>
    <row r="91" spans="14:14" x14ac:dyDescent="0.25">
      <c r="N91" s="14"/>
    </row>
    <row r="92" spans="14:14" x14ac:dyDescent="0.25">
      <c r="N92" s="14"/>
    </row>
    <row r="93" spans="14:14" x14ac:dyDescent="0.25">
      <c r="N93" s="14"/>
    </row>
    <row r="94" spans="14:14" x14ac:dyDescent="0.25">
      <c r="N94" s="14"/>
    </row>
    <row r="95" spans="14:14" x14ac:dyDescent="0.25">
      <c r="N95" s="14"/>
    </row>
    <row r="96" spans="14:14" x14ac:dyDescent="0.25">
      <c r="N96" s="14"/>
    </row>
    <row r="97" spans="14:14" x14ac:dyDescent="0.25">
      <c r="N97" s="14"/>
    </row>
    <row r="98" spans="14:14" x14ac:dyDescent="0.25">
      <c r="N98" s="14"/>
    </row>
    <row r="99" spans="14:14" x14ac:dyDescent="0.25">
      <c r="N99" s="14"/>
    </row>
    <row r="100" spans="14:14" x14ac:dyDescent="0.25">
      <c r="N100" s="14"/>
    </row>
    <row r="101" spans="14:14" x14ac:dyDescent="0.25">
      <c r="N101" s="14"/>
    </row>
    <row r="102" spans="14:14" x14ac:dyDescent="0.25">
      <c r="N102" s="14"/>
    </row>
    <row r="103" spans="14:14" x14ac:dyDescent="0.25">
      <c r="N103" s="14"/>
    </row>
    <row r="104" spans="14:14" x14ac:dyDescent="0.25">
      <c r="N104" s="14"/>
    </row>
    <row r="105" spans="14:14" x14ac:dyDescent="0.25">
      <c r="N105" s="14"/>
    </row>
    <row r="106" spans="14:14" x14ac:dyDescent="0.25">
      <c r="N106" s="14"/>
    </row>
    <row r="107" spans="14:14" x14ac:dyDescent="0.25">
      <c r="N107" s="14"/>
    </row>
    <row r="108" spans="14:14" x14ac:dyDescent="0.25">
      <c r="N108" s="14"/>
    </row>
    <row r="109" spans="14:14" x14ac:dyDescent="0.25">
      <c r="N109" s="14"/>
    </row>
    <row r="110" spans="14:14" x14ac:dyDescent="0.25">
      <c r="N110" s="14"/>
    </row>
    <row r="111" spans="14:14" x14ac:dyDescent="0.25">
      <c r="N111" s="14"/>
    </row>
    <row r="112" spans="14:14" x14ac:dyDescent="0.25">
      <c r="N112" s="14"/>
    </row>
    <row r="113" spans="14:14" x14ac:dyDescent="0.25">
      <c r="N113" s="14"/>
    </row>
    <row r="114" spans="14:14" x14ac:dyDescent="0.25">
      <c r="N114" s="14"/>
    </row>
    <row r="115" spans="14:14" x14ac:dyDescent="0.25">
      <c r="N115" s="14"/>
    </row>
    <row r="116" spans="14:14" x14ac:dyDescent="0.25">
      <c r="N116" s="14"/>
    </row>
    <row r="117" spans="14:14" x14ac:dyDescent="0.25">
      <c r="N117" s="14"/>
    </row>
    <row r="118" spans="14:14" x14ac:dyDescent="0.25">
      <c r="N118" s="14"/>
    </row>
    <row r="119" spans="14:14" x14ac:dyDescent="0.25">
      <c r="N119" s="14"/>
    </row>
    <row r="120" spans="14:14" x14ac:dyDescent="0.25">
      <c r="N120" s="14"/>
    </row>
    <row r="121" spans="14:14" x14ac:dyDescent="0.25">
      <c r="N121" s="14"/>
    </row>
    <row r="122" spans="14:14" x14ac:dyDescent="0.25">
      <c r="N122" s="14"/>
    </row>
    <row r="123" spans="14:14" x14ac:dyDescent="0.25">
      <c r="N123" s="14"/>
    </row>
    <row r="124" spans="14:14" x14ac:dyDescent="0.25">
      <c r="N124" s="14"/>
    </row>
    <row r="125" spans="14:14" x14ac:dyDescent="0.25">
      <c r="N125" s="14"/>
    </row>
    <row r="126" spans="14:14" x14ac:dyDescent="0.25">
      <c r="N126" s="14"/>
    </row>
    <row r="127" spans="14:14" x14ac:dyDescent="0.25">
      <c r="N127" s="14"/>
    </row>
    <row r="128" spans="14:14" x14ac:dyDescent="0.25">
      <c r="N128" s="14"/>
    </row>
    <row r="129" spans="14:14" x14ac:dyDescent="0.25">
      <c r="N129" s="14"/>
    </row>
    <row r="130" spans="14:14" x14ac:dyDescent="0.25">
      <c r="N130" s="14"/>
    </row>
    <row r="131" spans="14:14" x14ac:dyDescent="0.25">
      <c r="N131" s="14"/>
    </row>
    <row r="132" spans="14:14" x14ac:dyDescent="0.25">
      <c r="N132" s="14"/>
    </row>
    <row r="133" spans="14:14" x14ac:dyDescent="0.25">
      <c r="N133" s="14"/>
    </row>
    <row r="134" spans="14:14" x14ac:dyDescent="0.25">
      <c r="N134" s="14"/>
    </row>
    <row r="135" spans="14:14" x14ac:dyDescent="0.25">
      <c r="N135" s="14"/>
    </row>
    <row r="136" spans="14:14" x14ac:dyDescent="0.25">
      <c r="N136" s="14"/>
    </row>
    <row r="137" spans="14:14" x14ac:dyDescent="0.25">
      <c r="N137" s="14"/>
    </row>
    <row r="138" spans="14:14" x14ac:dyDescent="0.25">
      <c r="N138" s="14"/>
    </row>
    <row r="139" spans="14:14" x14ac:dyDescent="0.25">
      <c r="N139" s="14"/>
    </row>
    <row r="140" spans="14:14" x14ac:dyDescent="0.25">
      <c r="N140" s="14"/>
    </row>
    <row r="141" spans="14:14" x14ac:dyDescent="0.25">
      <c r="N141" s="14"/>
    </row>
    <row r="142" spans="14:14" x14ac:dyDescent="0.25">
      <c r="N142" s="14"/>
    </row>
    <row r="143" spans="14:14" x14ac:dyDescent="0.25">
      <c r="N143" s="14"/>
    </row>
    <row r="144" spans="14:14" x14ac:dyDescent="0.25">
      <c r="N144" s="14"/>
    </row>
    <row r="145" spans="14:14" x14ac:dyDescent="0.25">
      <c r="N145" s="14"/>
    </row>
    <row r="146" spans="14:14" x14ac:dyDescent="0.25">
      <c r="N146" s="14"/>
    </row>
    <row r="147" spans="14:14" x14ac:dyDescent="0.25">
      <c r="N147" s="14"/>
    </row>
    <row r="148" spans="14:14" x14ac:dyDescent="0.25">
      <c r="N148" s="14"/>
    </row>
    <row r="149" spans="14:14" x14ac:dyDescent="0.25">
      <c r="N149" s="14"/>
    </row>
    <row r="150" spans="14:14" x14ac:dyDescent="0.25">
      <c r="N150" s="14"/>
    </row>
    <row r="151" spans="14:14" x14ac:dyDescent="0.25">
      <c r="N151" s="14"/>
    </row>
    <row r="152" spans="14:14" x14ac:dyDescent="0.25">
      <c r="N152" s="14"/>
    </row>
    <row r="153" spans="14:14" x14ac:dyDescent="0.25">
      <c r="N153" s="14"/>
    </row>
    <row r="154" spans="14:14" x14ac:dyDescent="0.25">
      <c r="N154" s="14"/>
    </row>
    <row r="155" spans="14:14" x14ac:dyDescent="0.25">
      <c r="N155" s="14"/>
    </row>
    <row r="156" spans="14:14" x14ac:dyDescent="0.25">
      <c r="N156" s="14"/>
    </row>
    <row r="157" spans="14:14" x14ac:dyDescent="0.25">
      <c r="N157" s="14"/>
    </row>
    <row r="158" spans="14:14" x14ac:dyDescent="0.25">
      <c r="N158" s="14"/>
    </row>
    <row r="159" spans="14:14" x14ac:dyDescent="0.25">
      <c r="N159" s="14"/>
    </row>
    <row r="160" spans="14:14" x14ac:dyDescent="0.25">
      <c r="N160" s="14"/>
    </row>
    <row r="161" spans="14:14" x14ac:dyDescent="0.25">
      <c r="N161" s="14"/>
    </row>
    <row r="162" spans="14:14" x14ac:dyDescent="0.25">
      <c r="N162" s="14"/>
    </row>
    <row r="163" spans="14:14" x14ac:dyDescent="0.25">
      <c r="N163" s="14"/>
    </row>
    <row r="164" spans="14:14" x14ac:dyDescent="0.25">
      <c r="N164" s="14"/>
    </row>
    <row r="165" spans="14:14" x14ac:dyDescent="0.25">
      <c r="N165" s="14"/>
    </row>
    <row r="166" spans="14:14" x14ac:dyDescent="0.25">
      <c r="N166" s="14"/>
    </row>
    <row r="167" spans="14:14" x14ac:dyDescent="0.25">
      <c r="N167" s="14"/>
    </row>
    <row r="168" spans="14:14" x14ac:dyDescent="0.25">
      <c r="N168" s="14"/>
    </row>
    <row r="169" spans="14:14" x14ac:dyDescent="0.25">
      <c r="N169" s="14"/>
    </row>
    <row r="170" spans="14:14" x14ac:dyDescent="0.25">
      <c r="N170" s="14"/>
    </row>
    <row r="171" spans="14:14" x14ac:dyDescent="0.25">
      <c r="N171" s="14"/>
    </row>
    <row r="172" spans="14:14" x14ac:dyDescent="0.25">
      <c r="N172" s="14"/>
    </row>
    <row r="173" spans="14:14" x14ac:dyDescent="0.25">
      <c r="N173" s="14"/>
    </row>
    <row r="174" spans="14:14" x14ac:dyDescent="0.25">
      <c r="N174" s="14"/>
    </row>
    <row r="175" spans="14:14" x14ac:dyDescent="0.25">
      <c r="N175" s="14"/>
    </row>
    <row r="176" spans="14:14" x14ac:dyDescent="0.25">
      <c r="N176" s="14"/>
    </row>
    <row r="177" spans="14:14" x14ac:dyDescent="0.25">
      <c r="N177" s="14"/>
    </row>
    <row r="178" spans="14:14" x14ac:dyDescent="0.25">
      <c r="N178" s="14"/>
    </row>
    <row r="179" spans="14:14" x14ac:dyDescent="0.25">
      <c r="N179" s="14"/>
    </row>
    <row r="180" spans="14:14" x14ac:dyDescent="0.25">
      <c r="N180" s="14"/>
    </row>
    <row r="181" spans="14:14" x14ac:dyDescent="0.25">
      <c r="N181" s="14"/>
    </row>
    <row r="182" spans="14:14" x14ac:dyDescent="0.25">
      <c r="N182" s="14"/>
    </row>
    <row r="183" spans="14:14" x14ac:dyDescent="0.25">
      <c r="N183" s="14"/>
    </row>
    <row r="184" spans="14:14" x14ac:dyDescent="0.25">
      <c r="N184" s="14"/>
    </row>
    <row r="185" spans="14:14" x14ac:dyDescent="0.25">
      <c r="N185" s="14"/>
    </row>
    <row r="186" spans="14:14" x14ac:dyDescent="0.25">
      <c r="N186" s="14"/>
    </row>
    <row r="187" spans="14:14" x14ac:dyDescent="0.25">
      <c r="N187" s="14"/>
    </row>
    <row r="188" spans="14:14" x14ac:dyDescent="0.25">
      <c r="N188" s="14"/>
    </row>
    <row r="189" spans="14:14" x14ac:dyDescent="0.25">
      <c r="N189" s="14"/>
    </row>
    <row r="190" spans="14:14" x14ac:dyDescent="0.25">
      <c r="N190" s="14"/>
    </row>
    <row r="191" spans="14:14" x14ac:dyDescent="0.25">
      <c r="N191" s="14"/>
    </row>
    <row r="192" spans="14:14" x14ac:dyDescent="0.25">
      <c r="N192" s="14"/>
    </row>
    <row r="193" spans="14:14" x14ac:dyDescent="0.25">
      <c r="N193" s="14"/>
    </row>
    <row r="194" spans="14:14" x14ac:dyDescent="0.25">
      <c r="N194" s="14"/>
    </row>
    <row r="195" spans="14:14" x14ac:dyDescent="0.25">
      <c r="N195" s="14"/>
    </row>
    <row r="196" spans="14:14" x14ac:dyDescent="0.25">
      <c r="N196" s="14"/>
    </row>
    <row r="197" spans="14:14" x14ac:dyDescent="0.25">
      <c r="N197" s="14"/>
    </row>
    <row r="198" spans="14:14" x14ac:dyDescent="0.25">
      <c r="N198" s="14"/>
    </row>
    <row r="199" spans="14:14" x14ac:dyDescent="0.25">
      <c r="N199" s="14"/>
    </row>
    <row r="200" spans="14:14" x14ac:dyDescent="0.25">
      <c r="N200" s="14"/>
    </row>
    <row r="201" spans="14:14" x14ac:dyDescent="0.25">
      <c r="N201" s="14"/>
    </row>
    <row r="202" spans="14:14" x14ac:dyDescent="0.25">
      <c r="N202" s="14"/>
    </row>
    <row r="203" spans="14:14" x14ac:dyDescent="0.25">
      <c r="N203" s="14"/>
    </row>
    <row r="204" spans="14:14" x14ac:dyDescent="0.25">
      <c r="N204" s="14"/>
    </row>
    <row r="205" spans="14:14" x14ac:dyDescent="0.25">
      <c r="N205" s="14"/>
    </row>
    <row r="206" spans="14:14" x14ac:dyDescent="0.25">
      <c r="N206" s="14"/>
    </row>
    <row r="207" spans="14:14" x14ac:dyDescent="0.25">
      <c r="N207" s="14"/>
    </row>
    <row r="208" spans="14:14" x14ac:dyDescent="0.25">
      <c r="N208" s="14"/>
    </row>
    <row r="209" spans="14:14" x14ac:dyDescent="0.25">
      <c r="N209" s="14"/>
    </row>
    <row r="210" spans="14:14" x14ac:dyDescent="0.25">
      <c r="N210" s="14"/>
    </row>
    <row r="211" spans="14:14" x14ac:dyDescent="0.25">
      <c r="N211" s="14"/>
    </row>
    <row r="212" spans="14:14" x14ac:dyDescent="0.25">
      <c r="N212" s="14"/>
    </row>
    <row r="213" spans="14:14" x14ac:dyDescent="0.25">
      <c r="N213" s="14"/>
    </row>
    <row r="214" spans="14:14" x14ac:dyDescent="0.25">
      <c r="N214" s="14"/>
    </row>
    <row r="215" spans="14:14" x14ac:dyDescent="0.25">
      <c r="N215" s="14"/>
    </row>
    <row r="216" spans="14:14" x14ac:dyDescent="0.25">
      <c r="N216" s="14"/>
    </row>
    <row r="217" spans="14:14" x14ac:dyDescent="0.25">
      <c r="N217" s="14"/>
    </row>
    <row r="218" spans="14:14" x14ac:dyDescent="0.25">
      <c r="N218" s="14"/>
    </row>
    <row r="219" spans="14:14" x14ac:dyDescent="0.25">
      <c r="N219" s="14"/>
    </row>
    <row r="220" spans="14:14" x14ac:dyDescent="0.25">
      <c r="N220" s="14"/>
    </row>
    <row r="221" spans="14:14" x14ac:dyDescent="0.25">
      <c r="N221" s="14"/>
    </row>
    <row r="222" spans="14:14" x14ac:dyDescent="0.25">
      <c r="N222" s="14"/>
    </row>
    <row r="223" spans="14:14" x14ac:dyDescent="0.25">
      <c r="N223" s="14"/>
    </row>
    <row r="224" spans="14:14" x14ac:dyDescent="0.25">
      <c r="N224" s="14"/>
    </row>
    <row r="225" spans="14:14" x14ac:dyDescent="0.25">
      <c r="N225" s="14"/>
    </row>
    <row r="226" spans="14:14" x14ac:dyDescent="0.25">
      <c r="N226" s="14"/>
    </row>
    <row r="227" spans="14:14" x14ac:dyDescent="0.25">
      <c r="N227" s="14"/>
    </row>
    <row r="228" spans="14:14" x14ac:dyDescent="0.25">
      <c r="N228" s="14"/>
    </row>
    <row r="229" spans="14:14" x14ac:dyDescent="0.25">
      <c r="N229" s="14"/>
    </row>
    <row r="230" spans="14:14" x14ac:dyDescent="0.25">
      <c r="N230" s="14"/>
    </row>
    <row r="231" spans="14:14" x14ac:dyDescent="0.25">
      <c r="N231" s="14"/>
    </row>
    <row r="232" spans="14:14" x14ac:dyDescent="0.25">
      <c r="N232" s="14"/>
    </row>
    <row r="233" spans="14:14" x14ac:dyDescent="0.25">
      <c r="N233" s="14"/>
    </row>
    <row r="234" spans="14:14" x14ac:dyDescent="0.25">
      <c r="N234" s="14"/>
    </row>
    <row r="235" spans="14:14" x14ac:dyDescent="0.25">
      <c r="N235" s="14"/>
    </row>
    <row r="236" spans="14:14" x14ac:dyDescent="0.25">
      <c r="N236" s="14"/>
    </row>
    <row r="237" spans="14:14" x14ac:dyDescent="0.25">
      <c r="N237" s="14"/>
    </row>
    <row r="238" spans="14:14" x14ac:dyDescent="0.25">
      <c r="N238" s="14"/>
    </row>
    <row r="239" spans="14:14" x14ac:dyDescent="0.25">
      <c r="N239" s="14"/>
    </row>
    <row r="240" spans="14:14" x14ac:dyDescent="0.25">
      <c r="N240" s="14"/>
    </row>
    <row r="241" spans="14:14" x14ac:dyDescent="0.25">
      <c r="N241" s="14"/>
    </row>
    <row r="242" spans="14:14" x14ac:dyDescent="0.25">
      <c r="N242" s="14"/>
    </row>
    <row r="243" spans="14:14" x14ac:dyDescent="0.25">
      <c r="N243" s="14"/>
    </row>
    <row r="244" spans="14:14" x14ac:dyDescent="0.25">
      <c r="N244" s="14"/>
    </row>
    <row r="245" spans="14:14" x14ac:dyDescent="0.25">
      <c r="N245" s="14"/>
    </row>
    <row r="246" spans="14:14" x14ac:dyDescent="0.25">
      <c r="N246" s="14"/>
    </row>
    <row r="247" spans="14:14" x14ac:dyDescent="0.25">
      <c r="N247" s="14"/>
    </row>
    <row r="248" spans="14:14" x14ac:dyDescent="0.25">
      <c r="N248" s="14"/>
    </row>
    <row r="249" spans="14:14" x14ac:dyDescent="0.25">
      <c r="N249" s="14"/>
    </row>
    <row r="250" spans="14:14" x14ac:dyDescent="0.25">
      <c r="N250" s="14"/>
    </row>
    <row r="251" spans="14:14" x14ac:dyDescent="0.25">
      <c r="N251" s="14"/>
    </row>
    <row r="252" spans="14:14" x14ac:dyDescent="0.25">
      <c r="N252" s="14"/>
    </row>
    <row r="253" spans="14:14" x14ac:dyDescent="0.25">
      <c r="N253" s="14"/>
    </row>
    <row r="254" spans="14:14" x14ac:dyDescent="0.25">
      <c r="N254" s="14"/>
    </row>
    <row r="255" spans="14:14" x14ac:dyDescent="0.25">
      <c r="N255" s="14"/>
    </row>
  </sheetData>
  <pageMargins left="0.7" right="0.7" top="0.75" bottom="0.75" header="0.3" footer="0.3"/>
  <pageSetup paperSize="9" orientation="portrait" horizontalDpi="4294967292" verticalDpi="4294967292" r:id="rId1"/>
  <ignoredErrors>
    <ignoredError sqref="L8:L4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3"/>
  <sheetViews>
    <sheetView showGridLines="0" topLeftCell="A10" zoomScale="70" zoomScaleNormal="70" zoomScalePageLayoutView="70" workbookViewId="0">
      <selection activeCell="I32" sqref="I32"/>
    </sheetView>
  </sheetViews>
  <sheetFormatPr defaultColWidth="8.88671875" defaultRowHeight="13.2" x14ac:dyDescent="0.25"/>
  <cols>
    <col min="1" max="1" width="4" style="1" customWidth="1"/>
    <col min="2" max="2" width="6.6640625" style="5" bestFit="1" customWidth="1"/>
    <col min="3" max="3" width="35.6640625" style="1" customWidth="1"/>
    <col min="4" max="4" width="13.44140625" style="1" customWidth="1"/>
    <col min="5" max="5" width="11.6640625" style="1" customWidth="1"/>
    <col min="6" max="6" width="12" style="1" customWidth="1"/>
    <col min="7" max="12" width="10.88671875" style="1" customWidth="1"/>
    <col min="13" max="13" width="4.109375" style="1" customWidth="1"/>
    <col min="14" max="14" width="6.6640625" style="1" bestFit="1" customWidth="1"/>
    <col min="15" max="15" width="39.6640625" style="1" customWidth="1"/>
    <col min="16" max="16" width="13.44140625" style="1" customWidth="1"/>
    <col min="17" max="17" width="11.6640625" style="1" customWidth="1"/>
    <col min="18" max="18" width="12" style="1" customWidth="1"/>
    <col min="19" max="24" width="11" style="1" customWidth="1"/>
    <col min="25" max="16384" width="8.88671875" style="1"/>
  </cols>
  <sheetData>
    <row r="1" spans="1:24" x14ac:dyDescent="0.25">
      <c r="A1" s="11"/>
    </row>
    <row r="2" spans="1:24" ht="13.8" thickBot="1" x14ac:dyDescent="0.3">
      <c r="B2" s="5" t="s">
        <v>84</v>
      </c>
      <c r="N2" s="5" t="s">
        <v>85</v>
      </c>
    </row>
    <row r="3" spans="1:24" ht="13.8" thickBot="1" x14ac:dyDescent="0.3">
      <c r="B3" s="102" t="s">
        <v>2</v>
      </c>
      <c r="C3" s="103" t="s">
        <v>3</v>
      </c>
      <c r="D3" s="103" t="s">
        <v>310</v>
      </c>
      <c r="E3" s="103" t="s">
        <v>311</v>
      </c>
      <c r="F3" s="103" t="s">
        <v>312</v>
      </c>
      <c r="G3" s="102" t="s">
        <v>4</v>
      </c>
      <c r="H3" s="103" t="s">
        <v>5</v>
      </c>
      <c r="I3" s="103" t="s">
        <v>6</v>
      </c>
      <c r="J3" s="104" t="s">
        <v>7</v>
      </c>
      <c r="K3" s="105" t="s">
        <v>1</v>
      </c>
      <c r="L3" s="47" t="s">
        <v>309</v>
      </c>
      <c r="N3" s="53" t="s">
        <v>2</v>
      </c>
      <c r="O3" s="103" t="s">
        <v>3</v>
      </c>
      <c r="P3" s="103" t="s">
        <v>310</v>
      </c>
      <c r="Q3" s="103" t="s">
        <v>311</v>
      </c>
      <c r="R3" s="103" t="s">
        <v>312</v>
      </c>
      <c r="S3" s="53" t="s">
        <v>4</v>
      </c>
      <c r="T3" s="57" t="s">
        <v>5</v>
      </c>
      <c r="U3" s="57" t="s">
        <v>6</v>
      </c>
      <c r="V3" s="56" t="s">
        <v>7</v>
      </c>
      <c r="W3" s="72" t="s">
        <v>1</v>
      </c>
      <c r="X3" s="47" t="s">
        <v>309</v>
      </c>
    </row>
    <row r="4" spans="1:24" x14ac:dyDescent="0.25">
      <c r="B4" s="96" t="s">
        <v>217</v>
      </c>
      <c r="C4" s="97" t="s">
        <v>38</v>
      </c>
      <c r="D4" s="19" t="s">
        <v>178</v>
      </c>
      <c r="E4" s="190" t="s">
        <v>137</v>
      </c>
      <c r="F4" s="118" t="s">
        <v>253</v>
      </c>
      <c r="G4" s="98">
        <v>468.8</v>
      </c>
      <c r="H4" s="99">
        <v>468.8</v>
      </c>
      <c r="I4" s="99">
        <v>968.8</v>
      </c>
      <c r="J4" s="100">
        <v>2593.8000000000002</v>
      </c>
      <c r="K4" s="101">
        <f>SUM(G4:J4)</f>
        <v>4500.2000000000007</v>
      </c>
      <c r="L4" s="100">
        <f>AVERAGE(G4:I4)</f>
        <v>635.4666666666667</v>
      </c>
      <c r="N4" s="50" t="str">
        <f>B4</f>
        <v>RE.1</v>
      </c>
      <c r="O4" s="6" t="str">
        <f>C4</f>
        <v>Viability Gap Funding (VGF) Scheme- 750 MW, 2000 MW, 5000 MW under Jawaharlal Nehru National Solar Mission (JNNSM) Phase ll</v>
      </c>
      <c r="P4" s="6" t="str">
        <f t="shared" ref="P4:P27" si="0">D4</f>
        <v>Direct and indirect transfer of funds and liabilities</v>
      </c>
      <c r="Q4" s="6" t="str">
        <f t="shared" ref="Q4:Q27" si="1">E4</f>
        <v>Production</v>
      </c>
      <c r="R4" s="6" t="str">
        <f t="shared" ref="R4:R27" si="2">F4</f>
        <v>Power plant</v>
      </c>
      <c r="S4" s="45">
        <f>G4*'Exchange Rates'!$F$4*10</f>
        <v>77.492457791984052</v>
      </c>
      <c r="T4" s="44">
        <f>H4*'Exchange Rates'!$G$4*10</f>
        <v>76.667577039630459</v>
      </c>
      <c r="U4" s="44">
        <f>I4*'Exchange Rates'!$H$4*10</f>
        <v>147.99629092697768</v>
      </c>
      <c r="V4" s="43">
        <f>J4*'Exchange Rates'!$I$4*10</f>
        <v>386.61729984975284</v>
      </c>
      <c r="W4" s="58">
        <f>SUM(S4:V4)</f>
        <v>688.77362560834501</v>
      </c>
      <c r="X4" s="51">
        <f>AVERAGE(S4:U4)</f>
        <v>100.71877525286406</v>
      </c>
    </row>
    <row r="5" spans="1:24" x14ac:dyDescent="0.25">
      <c r="B5" s="50" t="s">
        <v>219</v>
      </c>
      <c r="C5" s="6" t="s">
        <v>39</v>
      </c>
      <c r="D5" s="19" t="s">
        <v>178</v>
      </c>
      <c r="E5" s="19" t="s">
        <v>271</v>
      </c>
      <c r="F5" s="54" t="s">
        <v>284</v>
      </c>
      <c r="G5" s="52" t="s">
        <v>40</v>
      </c>
      <c r="H5" s="2">
        <f>224.3</f>
        <v>224.3</v>
      </c>
      <c r="I5" s="2">
        <f>684.5</f>
        <v>684.5</v>
      </c>
      <c r="J5" s="51">
        <f>31.5</f>
        <v>31.5</v>
      </c>
      <c r="K5" s="58">
        <f t="shared" ref="K5:K27" si="3">SUM(G5:J5)</f>
        <v>940.3</v>
      </c>
      <c r="L5" s="51">
        <f>AVERAGE(G5:I5)</f>
        <v>454.4</v>
      </c>
      <c r="N5" s="50" t="str">
        <f t="shared" ref="N5:N27" si="4">B5</f>
        <v>RE.2</v>
      </c>
      <c r="O5" s="6" t="str">
        <f t="shared" ref="O5:O27" si="5">C5</f>
        <v>Off-Grid and Decentralized Solar Application Scheme</v>
      </c>
      <c r="P5" s="6" t="str">
        <f t="shared" si="0"/>
        <v>Direct and indirect transfer of funds and liabilities</v>
      </c>
      <c r="Q5" s="6" t="str">
        <f t="shared" si="1"/>
        <v>Production and Consumption</v>
      </c>
      <c r="R5" s="6" t="str">
        <f t="shared" si="2"/>
        <v>RE Application</v>
      </c>
      <c r="S5" s="52" t="s">
        <v>40</v>
      </c>
      <c r="T5" s="2">
        <f>H5*'Exchange Rates'!$G$4*10</f>
        <v>36.682033980352202</v>
      </c>
      <c r="U5" s="2">
        <f>I5*'Exchange Rates'!$H$4*10</f>
        <v>104.56591777406712</v>
      </c>
      <c r="V5" s="51">
        <f>J5*'Exchange Rates'!$I$4*10</f>
        <v>4.6952135651427298</v>
      </c>
      <c r="W5" s="58">
        <f t="shared" ref="W5:W27" si="6">SUM(S5:V5)</f>
        <v>145.94316531956204</v>
      </c>
      <c r="X5" s="51">
        <f>AVERAGE(S5:U5)</f>
        <v>70.623975877209659</v>
      </c>
    </row>
    <row r="6" spans="1:24" x14ac:dyDescent="0.25">
      <c r="B6" s="50" t="s">
        <v>218</v>
      </c>
      <c r="C6" s="6" t="s">
        <v>41</v>
      </c>
      <c r="D6" s="19" t="s">
        <v>178</v>
      </c>
      <c r="E6" s="190" t="s">
        <v>137</v>
      </c>
      <c r="F6" s="54" t="s">
        <v>253</v>
      </c>
      <c r="G6" s="52" t="s">
        <v>9</v>
      </c>
      <c r="H6" s="2">
        <v>172.5</v>
      </c>
      <c r="I6" s="2">
        <v>365.7</v>
      </c>
      <c r="J6" s="51">
        <v>162.80000000000001</v>
      </c>
      <c r="K6" s="58">
        <f t="shared" si="3"/>
        <v>701</v>
      </c>
      <c r="L6" s="51">
        <f t="shared" ref="L6:L20" si="7">AVERAGE(G6:I6)</f>
        <v>269.10000000000002</v>
      </c>
      <c r="N6" s="50" t="str">
        <f t="shared" si="4"/>
        <v>RE.3</v>
      </c>
      <c r="O6" s="6" t="str">
        <f t="shared" si="5"/>
        <v>Scheme for development of Solar Parks and Ultra Mega Solar Power Projects</v>
      </c>
      <c r="P6" s="6" t="str">
        <f t="shared" si="0"/>
        <v>Direct and indirect transfer of funds and liabilities</v>
      </c>
      <c r="Q6" s="6" t="str">
        <f t="shared" si="1"/>
        <v>Production</v>
      </c>
      <c r="R6" s="6" t="str">
        <f t="shared" si="2"/>
        <v>Power plant</v>
      </c>
      <c r="S6" s="84" t="s">
        <v>9</v>
      </c>
      <c r="T6" s="2">
        <f>H6*'Exchange Rates'!$G$4*10</f>
        <v>28.210659213601225</v>
      </c>
      <c r="U6" s="2">
        <f>I6*'Exchange Rates'!$H$4*10</f>
        <v>55.865239050367194</v>
      </c>
      <c r="V6" s="51">
        <f>J6*'Exchange Rates'!$I$4*10</f>
        <v>24.266056139848779</v>
      </c>
      <c r="W6" s="58">
        <f t="shared" si="6"/>
        <v>108.3419544038172</v>
      </c>
      <c r="X6" s="51">
        <f t="shared" ref="X6:X20" si="8">AVERAGE(S6:U6)</f>
        <v>42.037949131984206</v>
      </c>
    </row>
    <row r="7" spans="1:24" x14ac:dyDescent="0.25">
      <c r="B7" s="50" t="s">
        <v>221</v>
      </c>
      <c r="C7" s="6" t="s">
        <v>42</v>
      </c>
      <c r="D7" s="19" t="s">
        <v>178</v>
      </c>
      <c r="E7" s="190" t="s">
        <v>137</v>
      </c>
      <c r="F7" s="28" t="s">
        <v>279</v>
      </c>
      <c r="G7" s="52">
        <v>146.9</v>
      </c>
      <c r="H7" s="2">
        <v>131.6</v>
      </c>
      <c r="I7" s="2">
        <v>92.3</v>
      </c>
      <c r="J7" s="51">
        <v>205.1</v>
      </c>
      <c r="K7" s="58">
        <f t="shared" si="3"/>
        <v>575.9</v>
      </c>
      <c r="L7" s="51">
        <f t="shared" si="7"/>
        <v>123.60000000000001</v>
      </c>
      <c r="N7" s="50" t="str">
        <f t="shared" si="4"/>
        <v>RE.4</v>
      </c>
      <c r="O7" s="6" t="str">
        <f t="shared" si="5"/>
        <v>Support for Research and Development activities</v>
      </c>
      <c r="P7" s="6" t="str">
        <f t="shared" si="0"/>
        <v>Direct and indirect transfer of funds and liabilities</v>
      </c>
      <c r="Q7" s="6" t="str">
        <f t="shared" si="1"/>
        <v>Production</v>
      </c>
      <c r="R7" s="6" t="str">
        <f t="shared" si="2"/>
        <v>Research</v>
      </c>
      <c r="S7" s="52">
        <f>G7*'Exchange Rates'!$F$4*10</f>
        <v>24.282512904527426</v>
      </c>
      <c r="T7" s="2">
        <f>H7*'Exchange Rates'!$G$4*10</f>
        <v>21.52187102904302</v>
      </c>
      <c r="U7" s="2">
        <f>I7*'Exchange Rates'!$H$4*10</f>
        <v>14.099976932865442</v>
      </c>
      <c r="V7" s="51">
        <f>J7*'Exchange Rates'!$I$4*10</f>
        <v>30.571057213040444</v>
      </c>
      <c r="W7" s="58">
        <f t="shared" si="6"/>
        <v>90.475418079476341</v>
      </c>
      <c r="X7" s="51">
        <f t="shared" si="8"/>
        <v>19.968120288811964</v>
      </c>
    </row>
    <row r="8" spans="1:24" x14ac:dyDescent="0.25">
      <c r="B8" s="50" t="s">
        <v>222</v>
      </c>
      <c r="C8" s="6" t="s">
        <v>43</v>
      </c>
      <c r="D8" s="19" t="s">
        <v>178</v>
      </c>
      <c r="E8" s="19" t="s">
        <v>271</v>
      </c>
      <c r="F8" s="28" t="s">
        <v>282</v>
      </c>
      <c r="G8" s="52">
        <f>1.5</f>
        <v>1.5</v>
      </c>
      <c r="H8" s="2">
        <f>3.7</f>
        <v>3.7</v>
      </c>
      <c r="I8" s="2">
        <f>4</f>
        <v>4</v>
      </c>
      <c r="J8" s="51">
        <f>499.6</f>
        <v>499.6</v>
      </c>
      <c r="K8" s="58">
        <f t="shared" si="3"/>
        <v>508.8</v>
      </c>
      <c r="L8" s="51">
        <f t="shared" si="7"/>
        <v>3.0666666666666664</v>
      </c>
      <c r="N8" s="50" t="str">
        <f t="shared" si="4"/>
        <v>RE.5</v>
      </c>
      <c r="O8" s="6" t="str">
        <f t="shared" si="5"/>
        <v>Grid Connected SPV Rooftop and small solar power programme</v>
      </c>
      <c r="P8" s="6" t="str">
        <f t="shared" si="0"/>
        <v>Direct and indirect transfer of funds and liabilities</v>
      </c>
      <c r="Q8" s="6" t="str">
        <f t="shared" si="1"/>
        <v>Production and Consumption</v>
      </c>
      <c r="R8" s="6" t="str">
        <f t="shared" si="2"/>
        <v xml:space="preserve">Power plant </v>
      </c>
      <c r="S8" s="52">
        <f>G8*'Exchange Rates'!$F$4*10</f>
        <v>0.247949416996536</v>
      </c>
      <c r="T8" s="2">
        <f>H8*'Exchange Rates'!$G$4*10</f>
        <v>0.60509819762506978</v>
      </c>
      <c r="U8" s="2">
        <f>I8*'Exchange Rates'!$H$4*10</f>
        <v>0.61104992125094004</v>
      </c>
      <c r="V8" s="51">
        <f>J8*'Exchange Rates'!$I$4*10</f>
        <v>74.467577687152641</v>
      </c>
      <c r="W8" s="58">
        <f t="shared" si="6"/>
        <v>75.931675223025181</v>
      </c>
      <c r="X8" s="51">
        <f t="shared" si="8"/>
        <v>0.48803251195751524</v>
      </c>
    </row>
    <row r="9" spans="1:24" x14ac:dyDescent="0.25">
      <c r="B9" s="50" t="s">
        <v>223</v>
      </c>
      <c r="C9" s="6" t="s">
        <v>44</v>
      </c>
      <c r="D9" s="19" t="s">
        <v>178</v>
      </c>
      <c r="E9" s="19" t="s">
        <v>271</v>
      </c>
      <c r="F9" s="28" t="s">
        <v>284</v>
      </c>
      <c r="G9" s="52">
        <v>90.3</v>
      </c>
      <c r="H9" s="2">
        <v>122.7</v>
      </c>
      <c r="I9" s="2">
        <v>131.1</v>
      </c>
      <c r="J9" s="51">
        <v>142</v>
      </c>
      <c r="K9" s="58">
        <f t="shared" si="3"/>
        <v>486.1</v>
      </c>
      <c r="L9" s="51">
        <f t="shared" si="7"/>
        <v>114.7</v>
      </c>
      <c r="N9" s="50" t="str">
        <f t="shared" si="4"/>
        <v>RE.6</v>
      </c>
      <c r="O9" s="6" t="str">
        <f t="shared" si="5"/>
        <v>National Biogas and Manure Management Programme (NBMMP)</v>
      </c>
      <c r="P9" s="6" t="str">
        <f t="shared" si="0"/>
        <v>Direct and indirect transfer of funds and liabilities</v>
      </c>
      <c r="Q9" s="6" t="str">
        <f t="shared" si="1"/>
        <v>Production and Consumption</v>
      </c>
      <c r="R9" s="6" t="str">
        <f t="shared" si="2"/>
        <v>RE Application</v>
      </c>
      <c r="S9" s="98">
        <f>G9*'Exchange Rates'!$F$4*10</f>
        <v>14.926554903191466</v>
      </c>
      <c r="T9" s="99">
        <f>H9*'Exchange Rates'!$G$4*10</f>
        <v>20.06636455367461</v>
      </c>
      <c r="U9" s="99">
        <f>I9*'Exchange Rates'!$H$4*10</f>
        <v>20.027161168999559</v>
      </c>
      <c r="V9" s="100">
        <f>J9*'Exchange Rates'!$I$4*10</f>
        <v>21.165724642865641</v>
      </c>
      <c r="W9" s="58">
        <f t="shared" si="6"/>
        <v>76.185805268731272</v>
      </c>
      <c r="X9" s="51">
        <f t="shared" si="8"/>
        <v>18.340026875288544</v>
      </c>
    </row>
    <row r="10" spans="1:24" x14ac:dyDescent="0.25">
      <c r="B10" s="50" t="s">
        <v>220</v>
      </c>
      <c r="C10" s="6" t="s">
        <v>45</v>
      </c>
      <c r="D10" s="19" t="s">
        <v>178</v>
      </c>
      <c r="E10" s="190" t="s">
        <v>137</v>
      </c>
      <c r="F10" s="28" t="s">
        <v>253</v>
      </c>
      <c r="G10" s="52" t="s">
        <v>9</v>
      </c>
      <c r="H10" s="2">
        <v>150</v>
      </c>
      <c r="I10" s="2">
        <v>150</v>
      </c>
      <c r="J10" s="51">
        <v>150</v>
      </c>
      <c r="K10" s="58">
        <f t="shared" si="3"/>
        <v>450</v>
      </c>
      <c r="L10" s="51">
        <f t="shared" si="7"/>
        <v>150</v>
      </c>
      <c r="N10" s="50" t="str">
        <f t="shared" si="4"/>
        <v>RE.7</v>
      </c>
      <c r="O10" s="6" t="str">
        <f t="shared" si="5"/>
        <v>Scheme for setting up of over 300 MW of solar power projects by Defence establishments</v>
      </c>
      <c r="P10" s="6" t="str">
        <f t="shared" si="0"/>
        <v>Direct and indirect transfer of funds and liabilities</v>
      </c>
      <c r="Q10" s="6" t="str">
        <f t="shared" si="1"/>
        <v>Production</v>
      </c>
      <c r="R10" s="6" t="str">
        <f t="shared" si="2"/>
        <v>Power plant</v>
      </c>
      <c r="S10" s="52" t="s">
        <v>9</v>
      </c>
      <c r="T10" s="2">
        <f>H10*'Exchange Rates'!$G$4*10</f>
        <v>24.531008011827147</v>
      </c>
      <c r="U10" s="2">
        <f>I10*'Exchange Rates'!$H$4*10</f>
        <v>22.914372046910252</v>
      </c>
      <c r="V10" s="51">
        <f>J10*'Exchange Rates'!$I$4*10</f>
        <v>22.358159834013001</v>
      </c>
      <c r="W10" s="58">
        <f t="shared" si="6"/>
        <v>69.803539892750393</v>
      </c>
      <c r="X10" s="51">
        <f t="shared" si="8"/>
        <v>23.7226900293687</v>
      </c>
    </row>
    <row r="11" spans="1:24" x14ac:dyDescent="0.25">
      <c r="B11" s="50" t="s">
        <v>224</v>
      </c>
      <c r="C11" s="6" t="s">
        <v>46</v>
      </c>
      <c r="D11" s="19" t="s">
        <v>178</v>
      </c>
      <c r="E11" s="190" t="s">
        <v>137</v>
      </c>
      <c r="F11" s="28" t="s">
        <v>253</v>
      </c>
      <c r="G11" s="52" t="s">
        <v>9</v>
      </c>
      <c r="H11" s="2" t="s">
        <v>9</v>
      </c>
      <c r="I11" s="2">
        <v>128.80000000000001</v>
      </c>
      <c r="J11" s="51">
        <v>304.39999999999998</v>
      </c>
      <c r="K11" s="58">
        <f t="shared" si="3"/>
        <v>433.2</v>
      </c>
      <c r="L11" s="51">
        <f t="shared" si="7"/>
        <v>128.80000000000001</v>
      </c>
      <c r="N11" s="50" t="str">
        <f t="shared" si="4"/>
        <v>RE.8</v>
      </c>
      <c r="O11" s="6" t="str">
        <f t="shared" si="5"/>
        <v>Scheme for setting up of 1000 MW of Grid-Connected Solar PV Power projects by Central Public Sector Undertakings (CPSUs) under Batch- V of Phase II of JNNSM</v>
      </c>
      <c r="P11" s="6" t="str">
        <f t="shared" si="0"/>
        <v>Direct and indirect transfer of funds and liabilities</v>
      </c>
      <c r="Q11" s="6" t="str">
        <f t="shared" si="1"/>
        <v>Production</v>
      </c>
      <c r="R11" s="6" t="str">
        <f t="shared" si="2"/>
        <v>Power plant</v>
      </c>
      <c r="S11" s="52" t="s">
        <v>9</v>
      </c>
      <c r="T11" s="2" t="s">
        <v>9</v>
      </c>
      <c r="U11" s="2">
        <f>I11*'Exchange Rates'!$H$4*10</f>
        <v>19.675807464280272</v>
      </c>
      <c r="V11" s="51">
        <f>J11*'Exchange Rates'!$I$4*10</f>
        <v>45.372159023157046</v>
      </c>
      <c r="W11" s="58">
        <f t="shared" si="6"/>
        <v>65.047966487437321</v>
      </c>
      <c r="X11" s="51">
        <f t="shared" si="8"/>
        <v>19.675807464280272</v>
      </c>
    </row>
    <row r="12" spans="1:24" x14ac:dyDescent="0.25">
      <c r="B12" s="50" t="s">
        <v>225</v>
      </c>
      <c r="C12" s="6" t="s">
        <v>47</v>
      </c>
      <c r="D12" s="19" t="s">
        <v>178</v>
      </c>
      <c r="E12" s="190" t="s">
        <v>137</v>
      </c>
      <c r="F12" s="28" t="s">
        <v>253</v>
      </c>
      <c r="G12" s="52">
        <v>114.1</v>
      </c>
      <c r="H12" s="2">
        <v>106.5</v>
      </c>
      <c r="I12" s="2">
        <v>100</v>
      </c>
      <c r="J12" s="51" t="s">
        <v>14</v>
      </c>
      <c r="K12" s="58">
        <f t="shared" si="3"/>
        <v>320.60000000000002</v>
      </c>
      <c r="L12" s="51">
        <f t="shared" si="7"/>
        <v>106.86666666666667</v>
      </c>
      <c r="N12" s="50" t="str">
        <f t="shared" si="4"/>
        <v>RE.9</v>
      </c>
      <c r="O12" s="6" t="str">
        <f t="shared" si="5"/>
        <v>MNRE Small Hydro Incentive Schemes</v>
      </c>
      <c r="P12" s="6" t="str">
        <f t="shared" si="0"/>
        <v>Direct and indirect transfer of funds and liabilities</v>
      </c>
      <c r="Q12" s="6" t="str">
        <f t="shared" si="1"/>
        <v>Production</v>
      </c>
      <c r="R12" s="6" t="str">
        <f t="shared" si="2"/>
        <v>Power plant</v>
      </c>
      <c r="S12" s="98">
        <f>G12*'Exchange Rates'!$F$4*10</f>
        <v>18.860685652869837</v>
      </c>
      <c r="T12" s="99">
        <f>H12*'Exchange Rates'!$G$4*10</f>
        <v>17.417015688397278</v>
      </c>
      <c r="U12" s="99">
        <f>I12*'Exchange Rates'!$H$4*10</f>
        <v>15.2762480312735</v>
      </c>
      <c r="V12" s="51" t="s">
        <v>14</v>
      </c>
      <c r="W12" s="58">
        <f t="shared" si="6"/>
        <v>51.553949372540615</v>
      </c>
      <c r="X12" s="51">
        <f t="shared" si="8"/>
        <v>17.184649790846873</v>
      </c>
    </row>
    <row r="13" spans="1:24" x14ac:dyDescent="0.25">
      <c r="B13" s="50" t="s">
        <v>226</v>
      </c>
      <c r="C13" s="6" t="s">
        <v>48</v>
      </c>
      <c r="D13" s="19" t="s">
        <v>178</v>
      </c>
      <c r="E13" s="190" t="s">
        <v>137</v>
      </c>
      <c r="F13" s="28" t="s">
        <v>253</v>
      </c>
      <c r="G13" s="52">
        <v>39.299999999999997</v>
      </c>
      <c r="H13" s="2">
        <v>77.099999999999994</v>
      </c>
      <c r="I13" s="2">
        <v>122.4</v>
      </c>
      <c r="J13" s="51" t="s">
        <v>14</v>
      </c>
      <c r="K13" s="58">
        <f t="shared" si="3"/>
        <v>238.8</v>
      </c>
      <c r="L13" s="51">
        <f t="shared" si="7"/>
        <v>79.600000000000009</v>
      </c>
      <c r="N13" s="50" t="str">
        <f t="shared" si="4"/>
        <v>RE.10</v>
      </c>
      <c r="O13" s="6" t="str">
        <f t="shared" si="5"/>
        <v>Financing and non-financing schemes: IREDA and other organisations</v>
      </c>
      <c r="P13" s="6" t="str">
        <f t="shared" si="0"/>
        <v>Direct and indirect transfer of funds and liabilities</v>
      </c>
      <c r="Q13" s="6" t="str">
        <f t="shared" si="1"/>
        <v>Production</v>
      </c>
      <c r="R13" s="6" t="str">
        <f t="shared" si="2"/>
        <v>Power plant</v>
      </c>
      <c r="S13" s="98">
        <f>G13*'Exchange Rates'!$F$4*10</f>
        <v>6.4962747253092425</v>
      </c>
      <c r="T13" s="99">
        <f>H13*'Exchange Rates'!$G$4*10</f>
        <v>12.608938118079154</v>
      </c>
      <c r="U13" s="99">
        <f>I13*'Exchange Rates'!$H$4*10</f>
        <v>18.698127590278766</v>
      </c>
      <c r="V13" s="51" t="s">
        <v>14</v>
      </c>
      <c r="W13" s="58">
        <f t="shared" si="6"/>
        <v>37.803340433667159</v>
      </c>
      <c r="X13" s="51">
        <f t="shared" si="8"/>
        <v>12.601113477889053</v>
      </c>
    </row>
    <row r="14" spans="1:24" x14ac:dyDescent="0.25">
      <c r="B14" s="50" t="s">
        <v>227</v>
      </c>
      <c r="C14" s="6" t="s">
        <v>49</v>
      </c>
      <c r="D14" s="19" t="s">
        <v>178</v>
      </c>
      <c r="E14" s="190" t="s">
        <v>137</v>
      </c>
      <c r="F14" s="28" t="s">
        <v>253</v>
      </c>
      <c r="G14" s="52" t="s">
        <v>9</v>
      </c>
      <c r="H14" s="2">
        <v>69</v>
      </c>
      <c r="I14" s="2">
        <v>76</v>
      </c>
      <c r="J14" s="51">
        <v>76</v>
      </c>
      <c r="K14" s="58">
        <f t="shared" si="3"/>
        <v>221</v>
      </c>
      <c r="L14" s="51">
        <f t="shared" si="7"/>
        <v>72.5</v>
      </c>
      <c r="N14" s="50" t="str">
        <f t="shared" si="4"/>
        <v>RE.11</v>
      </c>
      <c r="O14" s="6" t="str">
        <f t="shared" si="5"/>
        <v>Canal Bank/ Canal Top Scheme</v>
      </c>
      <c r="P14" s="6" t="str">
        <f t="shared" si="0"/>
        <v>Direct and indirect transfer of funds and liabilities</v>
      </c>
      <c r="Q14" s="6" t="str">
        <f t="shared" si="1"/>
        <v>Production</v>
      </c>
      <c r="R14" s="6" t="str">
        <f t="shared" si="2"/>
        <v>Power plant</v>
      </c>
      <c r="S14" s="52" t="s">
        <v>9</v>
      </c>
      <c r="T14" s="2">
        <f>H14*'Exchange Rates'!$G$4*10</f>
        <v>11.284263685440489</v>
      </c>
      <c r="U14" s="2">
        <f>I14*'Exchange Rates'!$H$4*10</f>
        <v>11.60994850376786</v>
      </c>
      <c r="V14" s="51">
        <f>J14*'Exchange Rates'!$I$4*10</f>
        <v>11.32813431589992</v>
      </c>
      <c r="W14" s="58">
        <f t="shared" si="6"/>
        <v>34.22234650510827</v>
      </c>
      <c r="X14" s="51">
        <f t="shared" si="8"/>
        <v>11.447106094604175</v>
      </c>
    </row>
    <row r="15" spans="1:24" x14ac:dyDescent="0.25">
      <c r="B15" s="50" t="s">
        <v>228</v>
      </c>
      <c r="C15" s="6" t="s">
        <v>50</v>
      </c>
      <c r="D15" s="19" t="s">
        <v>178</v>
      </c>
      <c r="E15" s="190" t="s">
        <v>137</v>
      </c>
      <c r="F15" s="28" t="s">
        <v>253</v>
      </c>
      <c r="G15" s="52">
        <v>5.6</v>
      </c>
      <c r="H15" s="2">
        <v>77.5</v>
      </c>
      <c r="I15" s="2">
        <v>29</v>
      </c>
      <c r="J15" s="51">
        <v>10.3</v>
      </c>
      <c r="K15" s="58">
        <f t="shared" si="3"/>
        <v>122.39999999999999</v>
      </c>
      <c r="L15" s="51">
        <f t="shared" si="7"/>
        <v>37.366666666666667</v>
      </c>
      <c r="N15" s="50" t="str">
        <f t="shared" si="4"/>
        <v>RE.12</v>
      </c>
      <c r="O15" s="6" t="str">
        <f t="shared" si="5"/>
        <v>Support for Grid Interactive Biomass Power and Bagasse Cogeneration in Sugar Mills</v>
      </c>
      <c r="P15" s="6" t="str">
        <f t="shared" si="0"/>
        <v>Direct and indirect transfer of funds and liabilities</v>
      </c>
      <c r="Q15" s="6" t="str">
        <f t="shared" si="1"/>
        <v>Production</v>
      </c>
      <c r="R15" s="6" t="str">
        <f t="shared" si="2"/>
        <v>Power plant</v>
      </c>
      <c r="S15" s="98">
        <f>G15*'Exchange Rates'!$F$4*10</f>
        <v>0.92567782345373439</v>
      </c>
      <c r="T15" s="99">
        <f>H15*'Exchange Rates'!$G$4*10</f>
        <v>12.674354139444029</v>
      </c>
      <c r="U15" s="99">
        <f>I15*'Exchange Rates'!$H$4*10</f>
        <v>4.4301119290693149</v>
      </c>
      <c r="V15" s="100">
        <f>J15*'Exchange Rates'!$I$4*10</f>
        <v>1.5352603086022263</v>
      </c>
      <c r="W15" s="58">
        <f t="shared" si="6"/>
        <v>19.565404200569304</v>
      </c>
      <c r="X15" s="51">
        <f t="shared" si="8"/>
        <v>6.0100479639890265</v>
      </c>
    </row>
    <row r="16" spans="1:24" x14ac:dyDescent="0.25">
      <c r="B16" s="50" t="s">
        <v>229</v>
      </c>
      <c r="C16" s="6" t="s">
        <v>51</v>
      </c>
      <c r="D16" s="19" t="s">
        <v>178</v>
      </c>
      <c r="E16" s="190" t="s">
        <v>137</v>
      </c>
      <c r="F16" s="28" t="s">
        <v>284</v>
      </c>
      <c r="G16" s="93">
        <v>0</v>
      </c>
      <c r="H16" s="2">
        <v>14.3</v>
      </c>
      <c r="I16" s="2">
        <v>14.3</v>
      </c>
      <c r="J16" s="51">
        <v>14.3</v>
      </c>
      <c r="K16" s="58">
        <f t="shared" si="3"/>
        <v>42.900000000000006</v>
      </c>
      <c r="L16" s="51">
        <f t="shared" si="7"/>
        <v>9.5333333333333332</v>
      </c>
      <c r="N16" s="50" t="str">
        <f t="shared" si="4"/>
        <v>RE.13</v>
      </c>
      <c r="O16" s="6" t="str">
        <f t="shared" si="5"/>
        <v>Biomass Gasifier Programme</v>
      </c>
      <c r="P16" s="6" t="str">
        <f t="shared" si="0"/>
        <v>Direct and indirect transfer of funds and liabilities</v>
      </c>
      <c r="Q16" s="6" t="str">
        <f t="shared" si="1"/>
        <v>Production</v>
      </c>
      <c r="R16" s="6" t="str">
        <f t="shared" si="2"/>
        <v>RE Application</v>
      </c>
      <c r="S16" s="98">
        <f>G16*'Exchange Rates'!$F$4*10</f>
        <v>0</v>
      </c>
      <c r="T16" s="99">
        <f>H16*'Exchange Rates'!$G$4*10</f>
        <v>2.3386227637941883</v>
      </c>
      <c r="U16" s="99">
        <f>I16*'Exchange Rates'!$H$4*10</f>
        <v>2.1845034684721107</v>
      </c>
      <c r="V16" s="100">
        <f>J16*'Exchange Rates'!$I$4*10</f>
        <v>2.1314779041759064</v>
      </c>
      <c r="W16" s="58">
        <f t="shared" si="6"/>
        <v>6.6546041364422059</v>
      </c>
      <c r="X16" s="51">
        <f t="shared" si="8"/>
        <v>1.5077087440887664</v>
      </c>
    </row>
    <row r="17" spans="2:24" x14ac:dyDescent="0.25">
      <c r="B17" s="50" t="s">
        <v>230</v>
      </c>
      <c r="C17" s="6" t="s">
        <v>52</v>
      </c>
      <c r="D17" s="19" t="s">
        <v>178</v>
      </c>
      <c r="E17" s="190" t="s">
        <v>137</v>
      </c>
      <c r="F17" s="28" t="s">
        <v>284</v>
      </c>
      <c r="G17" s="52">
        <v>5</v>
      </c>
      <c r="H17" s="2">
        <v>10</v>
      </c>
      <c r="I17" s="2">
        <v>3</v>
      </c>
      <c r="J17" s="51">
        <v>10</v>
      </c>
      <c r="K17" s="58">
        <f t="shared" si="3"/>
        <v>28</v>
      </c>
      <c r="L17" s="51">
        <f t="shared" si="7"/>
        <v>6</v>
      </c>
      <c r="N17" s="50" t="str">
        <f t="shared" si="4"/>
        <v>RE.14</v>
      </c>
      <c r="O17" s="6" t="str">
        <f t="shared" si="5"/>
        <v>Small Wind Energy and Hybrid Systems (SWES) Programme</v>
      </c>
      <c r="P17" s="6" t="str">
        <f t="shared" si="0"/>
        <v>Direct and indirect transfer of funds and liabilities</v>
      </c>
      <c r="Q17" s="6" t="str">
        <f t="shared" si="1"/>
        <v>Production</v>
      </c>
      <c r="R17" s="6" t="str">
        <f t="shared" si="2"/>
        <v>RE Application</v>
      </c>
      <c r="S17" s="98">
        <f>G17*'Exchange Rates'!$F$4*10</f>
        <v>0.82649805665511999</v>
      </c>
      <c r="T17" s="99">
        <f>H17*'Exchange Rates'!$G$4*10</f>
        <v>1.6354005341218101</v>
      </c>
      <c r="U17" s="99">
        <f>I17*'Exchange Rates'!$H$4*10</f>
        <v>0.45828744093820495</v>
      </c>
      <c r="V17" s="100">
        <f>J17*'Exchange Rates'!$I$4*10</f>
        <v>1.4905439889342</v>
      </c>
      <c r="W17" s="58">
        <f t="shared" si="6"/>
        <v>4.4107300206493356</v>
      </c>
      <c r="X17" s="51">
        <f t="shared" si="8"/>
        <v>0.97339534390504501</v>
      </c>
    </row>
    <row r="18" spans="2:24" x14ac:dyDescent="0.25">
      <c r="B18" s="50" t="s">
        <v>231</v>
      </c>
      <c r="C18" s="6" t="s">
        <v>53</v>
      </c>
      <c r="D18" s="19" t="s">
        <v>178</v>
      </c>
      <c r="E18" s="19" t="s">
        <v>271</v>
      </c>
      <c r="F18" s="28" t="s">
        <v>284</v>
      </c>
      <c r="G18" s="52" t="s">
        <v>9</v>
      </c>
      <c r="H18" s="2">
        <v>5.9</v>
      </c>
      <c r="I18" s="2">
        <v>14.7</v>
      </c>
      <c r="J18" s="51" t="s">
        <v>14</v>
      </c>
      <c r="K18" s="58">
        <f t="shared" si="3"/>
        <v>20.6</v>
      </c>
      <c r="L18" s="51">
        <f t="shared" si="7"/>
        <v>10.3</v>
      </c>
      <c r="N18" s="50" t="str">
        <f t="shared" si="4"/>
        <v>RE.15</v>
      </c>
      <c r="O18" s="6" t="str">
        <f t="shared" si="5"/>
        <v>Capital subsidy scheme for promoting Solar Photovoltaic water pumping systems for irrigation purpose</v>
      </c>
      <c r="P18" s="6" t="str">
        <f t="shared" si="0"/>
        <v>Direct and indirect transfer of funds and liabilities</v>
      </c>
      <c r="Q18" s="6" t="str">
        <f t="shared" si="1"/>
        <v>Production and Consumption</v>
      </c>
      <c r="R18" s="6" t="str">
        <f t="shared" si="2"/>
        <v>RE Application</v>
      </c>
      <c r="S18" s="52" t="s">
        <v>9</v>
      </c>
      <c r="T18" s="99">
        <f>H18*'Exchange Rates'!$G$4*10</f>
        <v>0.96488631513186807</v>
      </c>
      <c r="U18" s="99">
        <f>I18*'Exchange Rates'!$H$4*10</f>
        <v>2.2456084605972042</v>
      </c>
      <c r="V18" s="51" t="s">
        <v>14</v>
      </c>
      <c r="W18" s="58">
        <f t="shared" si="6"/>
        <v>3.2104947757290723</v>
      </c>
      <c r="X18" s="51">
        <f t="shared" si="8"/>
        <v>1.6052473878645361</v>
      </c>
    </row>
    <row r="19" spans="2:24" x14ac:dyDescent="0.25">
      <c r="B19" s="50" t="s">
        <v>232</v>
      </c>
      <c r="C19" s="6" t="s">
        <v>54</v>
      </c>
      <c r="D19" s="19" t="s">
        <v>178</v>
      </c>
      <c r="E19" s="19" t="s">
        <v>271</v>
      </c>
      <c r="F19" s="28" t="s">
        <v>284</v>
      </c>
      <c r="G19" s="52">
        <v>5.8</v>
      </c>
      <c r="H19" s="2">
        <v>0.4</v>
      </c>
      <c r="I19" s="2">
        <v>3.2</v>
      </c>
      <c r="J19" s="51" t="s">
        <v>14</v>
      </c>
      <c r="K19" s="58">
        <f t="shared" si="3"/>
        <v>9.4</v>
      </c>
      <c r="L19" s="51">
        <f t="shared" si="7"/>
        <v>3.1333333333333333</v>
      </c>
      <c r="N19" s="50" t="str">
        <f t="shared" si="4"/>
        <v>RE.16</v>
      </c>
      <c r="O19" s="6" t="str">
        <f t="shared" si="5"/>
        <v>Biogas Power (off-grid) Programme for decentralized power generation applications and thermal applications</v>
      </c>
      <c r="P19" s="6" t="str">
        <f t="shared" si="0"/>
        <v>Direct and indirect transfer of funds and liabilities</v>
      </c>
      <c r="Q19" s="6" t="str">
        <f t="shared" si="1"/>
        <v>Production and Consumption</v>
      </c>
      <c r="R19" s="6" t="str">
        <f t="shared" si="2"/>
        <v>RE Application</v>
      </c>
      <c r="S19" s="98">
        <f>G19*'Exchange Rates'!$F$4*10</f>
        <v>0.95873774571993919</v>
      </c>
      <c r="T19" s="99">
        <f>H19*'Exchange Rates'!$G$4*10</f>
        <v>6.5416021364872401E-2</v>
      </c>
      <c r="U19" s="99">
        <f>I19*'Exchange Rates'!$H$4*10</f>
        <v>0.48883993700075207</v>
      </c>
      <c r="V19" s="51" t="s">
        <v>14</v>
      </c>
      <c r="W19" s="58">
        <f t="shared" si="6"/>
        <v>1.5129937040855637</v>
      </c>
      <c r="X19" s="51">
        <f t="shared" si="8"/>
        <v>0.50433123469518792</v>
      </c>
    </row>
    <row r="20" spans="2:24" x14ac:dyDescent="0.25">
      <c r="B20" s="50" t="s">
        <v>233</v>
      </c>
      <c r="C20" s="6" t="s">
        <v>55</v>
      </c>
      <c r="D20" s="19" t="s">
        <v>178</v>
      </c>
      <c r="E20" s="190" t="s">
        <v>137</v>
      </c>
      <c r="F20" s="54" t="s">
        <v>279</v>
      </c>
      <c r="G20" s="52">
        <v>0.9</v>
      </c>
      <c r="H20" s="2">
        <v>0.5</v>
      </c>
      <c r="I20" s="2">
        <v>1.8</v>
      </c>
      <c r="J20" s="51" t="s">
        <v>14</v>
      </c>
      <c r="K20" s="58">
        <f t="shared" si="3"/>
        <v>3.2</v>
      </c>
      <c r="L20" s="51">
        <f t="shared" si="7"/>
        <v>1.0666666666666667</v>
      </c>
      <c r="N20" s="50" t="str">
        <f t="shared" si="4"/>
        <v>RE.17</v>
      </c>
      <c r="O20" s="6" t="str">
        <f t="shared" si="5"/>
        <v>Implementation of Wind Resource Assessment in Uncovered/New Areas under NCEF Scheme and subsequent development.</v>
      </c>
      <c r="P20" s="6" t="str">
        <f t="shared" si="0"/>
        <v>Direct and indirect transfer of funds and liabilities</v>
      </c>
      <c r="Q20" s="6" t="str">
        <f t="shared" si="1"/>
        <v>Production</v>
      </c>
      <c r="R20" s="6" t="str">
        <f t="shared" si="2"/>
        <v>Research</v>
      </c>
      <c r="S20" s="98">
        <f>G20*'Exchange Rates'!$F$4*10</f>
        <v>0.1487696501979216</v>
      </c>
      <c r="T20" s="99">
        <f>H20*'Exchange Rates'!$G$4*10</f>
        <v>8.1770026706090501E-2</v>
      </c>
      <c r="U20" s="99">
        <f>I20*'Exchange Rates'!$H$4*10</f>
        <v>0.27497246456292301</v>
      </c>
      <c r="V20" s="51" t="s">
        <v>14</v>
      </c>
      <c r="W20" s="58">
        <f t="shared" si="6"/>
        <v>0.50551214146693513</v>
      </c>
      <c r="X20" s="51">
        <f t="shared" si="8"/>
        <v>0.16850404715564504</v>
      </c>
    </row>
    <row r="21" spans="2:24" x14ac:dyDescent="0.25">
      <c r="B21" s="50" t="s">
        <v>234</v>
      </c>
      <c r="C21" s="6" t="s">
        <v>56</v>
      </c>
      <c r="D21" s="19" t="s">
        <v>178</v>
      </c>
      <c r="E21" s="19" t="s">
        <v>271</v>
      </c>
      <c r="F21" s="54" t="s">
        <v>284</v>
      </c>
      <c r="G21" s="52" t="s">
        <v>9</v>
      </c>
      <c r="H21" s="2" t="s">
        <v>9</v>
      </c>
      <c r="I21" s="2" t="s">
        <v>9</v>
      </c>
      <c r="J21" s="51" t="s">
        <v>9</v>
      </c>
      <c r="K21" s="58" t="s">
        <v>22</v>
      </c>
      <c r="L21" s="51" t="s">
        <v>22</v>
      </c>
      <c r="N21" s="50" t="str">
        <f t="shared" si="4"/>
        <v>RE.18</v>
      </c>
      <c r="O21" s="6" t="str">
        <f t="shared" si="5"/>
        <v>Scheme for installation of Solar Charging Stations with LED lanterns</v>
      </c>
      <c r="P21" s="6" t="str">
        <f t="shared" si="0"/>
        <v>Direct and indirect transfer of funds and liabilities</v>
      </c>
      <c r="Q21" s="6" t="str">
        <f t="shared" si="1"/>
        <v>Production and Consumption</v>
      </c>
      <c r="R21" s="6" t="str">
        <f t="shared" si="2"/>
        <v>RE Application</v>
      </c>
      <c r="S21" s="52" t="s">
        <v>9</v>
      </c>
      <c r="T21" s="2" t="s">
        <v>9</v>
      </c>
      <c r="U21" s="2" t="s">
        <v>9</v>
      </c>
      <c r="V21" s="51" t="s">
        <v>9</v>
      </c>
      <c r="W21" s="58" t="s">
        <v>22</v>
      </c>
      <c r="X21" s="51" t="s">
        <v>22</v>
      </c>
    </row>
    <row r="22" spans="2:24" x14ac:dyDescent="0.25">
      <c r="B22" s="50" t="s">
        <v>235</v>
      </c>
      <c r="C22" s="6" t="s">
        <v>57</v>
      </c>
      <c r="D22" s="19" t="s">
        <v>178</v>
      </c>
      <c r="E22" s="19" t="s">
        <v>271</v>
      </c>
      <c r="F22" s="54" t="s">
        <v>284</v>
      </c>
      <c r="G22" s="52" t="s">
        <v>14</v>
      </c>
      <c r="H22" s="2" t="s">
        <v>14</v>
      </c>
      <c r="I22" s="2" t="s">
        <v>14</v>
      </c>
      <c r="J22" s="51" t="s">
        <v>14</v>
      </c>
      <c r="K22" s="58" t="s">
        <v>22</v>
      </c>
      <c r="L22" s="51" t="s">
        <v>22</v>
      </c>
      <c r="N22" s="50" t="str">
        <f t="shared" si="4"/>
        <v>RE.19</v>
      </c>
      <c r="O22" s="6" t="str">
        <f t="shared" si="5"/>
        <v>Akshay Urja Shops Programme</v>
      </c>
      <c r="P22" s="6" t="str">
        <f t="shared" si="0"/>
        <v>Direct and indirect transfer of funds and liabilities</v>
      </c>
      <c r="Q22" s="6" t="str">
        <f t="shared" si="1"/>
        <v>Production and Consumption</v>
      </c>
      <c r="R22" s="6" t="str">
        <f t="shared" si="2"/>
        <v>RE Application</v>
      </c>
      <c r="S22" s="52" t="s">
        <v>14</v>
      </c>
      <c r="T22" s="2" t="s">
        <v>14</v>
      </c>
      <c r="U22" s="2" t="s">
        <v>14</v>
      </c>
      <c r="V22" s="51" t="s">
        <v>14</v>
      </c>
      <c r="W22" s="58" t="s">
        <v>22</v>
      </c>
      <c r="X22" s="51" t="s">
        <v>22</v>
      </c>
    </row>
    <row r="23" spans="2:24" x14ac:dyDescent="0.25">
      <c r="B23" s="50" t="s">
        <v>236</v>
      </c>
      <c r="C23" s="6" t="s">
        <v>58</v>
      </c>
      <c r="D23" s="6" t="s">
        <v>25</v>
      </c>
      <c r="E23" s="190" t="s">
        <v>137</v>
      </c>
      <c r="F23" s="54" t="s">
        <v>253</v>
      </c>
      <c r="G23" s="52">
        <v>909</v>
      </c>
      <c r="H23" s="2">
        <v>2686</v>
      </c>
      <c r="I23" s="2">
        <v>3885</v>
      </c>
      <c r="J23" s="51">
        <v>5471</v>
      </c>
      <c r="K23" s="58">
        <f t="shared" si="3"/>
        <v>12951</v>
      </c>
      <c r="L23" s="51">
        <f t="shared" ref="L23:L24" si="9">AVERAGE(G23:I23)</f>
        <v>2493.3333333333335</v>
      </c>
      <c r="M23" s="13"/>
      <c r="N23" s="50" t="str">
        <f t="shared" si="4"/>
        <v>RE.20</v>
      </c>
      <c r="O23" s="6" t="str">
        <f t="shared" si="5"/>
        <v>Accelerated Depreciation</v>
      </c>
      <c r="P23" s="6" t="str">
        <f t="shared" si="0"/>
        <v>Government revenue foregone</v>
      </c>
      <c r="Q23" s="6" t="str">
        <f t="shared" si="1"/>
        <v>Production</v>
      </c>
      <c r="R23" s="6" t="str">
        <f t="shared" si="2"/>
        <v>Power plant</v>
      </c>
      <c r="S23" s="98">
        <f>G23*'Exchange Rates'!$F$4*10</f>
        <v>150.25734669990081</v>
      </c>
      <c r="T23" s="99">
        <f>H23*'Exchange Rates'!$G$4*10</f>
        <v>439.26858346511813</v>
      </c>
      <c r="U23" s="99">
        <f>I23*'Exchange Rates'!$H$4*10</f>
        <v>593.48223601497557</v>
      </c>
      <c r="V23" s="100">
        <f>J23*'Exchange Rates'!$I$4*10</f>
        <v>815.47661634590088</v>
      </c>
      <c r="W23" s="58">
        <f t="shared" si="6"/>
        <v>1998.4847825258953</v>
      </c>
      <c r="X23" s="51">
        <f t="shared" ref="X23:X24" si="10">AVERAGE(S23:U23)</f>
        <v>394.33605539333149</v>
      </c>
    </row>
    <row r="24" spans="2:24" x14ac:dyDescent="0.25">
      <c r="B24" s="50" t="s">
        <v>237</v>
      </c>
      <c r="C24" s="6" t="s">
        <v>59</v>
      </c>
      <c r="D24" s="6" t="s">
        <v>25</v>
      </c>
      <c r="E24" s="190" t="s">
        <v>137</v>
      </c>
      <c r="F24" s="54" t="s">
        <v>253</v>
      </c>
      <c r="G24" s="52">
        <v>642</v>
      </c>
      <c r="H24" s="2">
        <v>1682</v>
      </c>
      <c r="I24" s="2">
        <v>2365</v>
      </c>
      <c r="J24" s="51">
        <v>4660</v>
      </c>
      <c r="K24" s="58">
        <f t="shared" si="3"/>
        <v>9349</v>
      </c>
      <c r="L24" s="51">
        <f t="shared" si="9"/>
        <v>1563</v>
      </c>
      <c r="M24" s="13"/>
      <c r="N24" s="50" t="str">
        <f t="shared" si="4"/>
        <v>RE.21</v>
      </c>
      <c r="O24" s="6" t="str">
        <f t="shared" si="5"/>
        <v>Tax breaks on Excise and Custom Duty: Solar &amp; Wind</v>
      </c>
      <c r="P24" s="6" t="str">
        <f t="shared" si="0"/>
        <v>Government revenue foregone</v>
      </c>
      <c r="Q24" s="6" t="str">
        <f t="shared" si="1"/>
        <v>Production</v>
      </c>
      <c r="R24" s="6" t="str">
        <f t="shared" si="2"/>
        <v>Power plant</v>
      </c>
      <c r="S24" s="98">
        <f>G24*'Exchange Rates'!$F$4*10</f>
        <v>106.1223504745174</v>
      </c>
      <c r="T24" s="99">
        <f>H24*'Exchange Rates'!$G$4*10</f>
        <v>275.07436983928847</v>
      </c>
      <c r="U24" s="99">
        <f>I24*'Exchange Rates'!$H$4*10</f>
        <v>361.28326593961833</v>
      </c>
      <c r="V24" s="100">
        <f>J24*'Exchange Rates'!$I$4*10</f>
        <v>694.59349884333722</v>
      </c>
      <c r="W24" s="58">
        <f t="shared" si="6"/>
        <v>1437.0734850967615</v>
      </c>
      <c r="X24" s="51">
        <f t="shared" si="10"/>
        <v>247.49332875114138</v>
      </c>
    </row>
    <row r="25" spans="2:24" x14ac:dyDescent="0.25">
      <c r="B25" s="50" t="s">
        <v>238</v>
      </c>
      <c r="C25" s="6" t="s">
        <v>60</v>
      </c>
      <c r="D25" s="6" t="s">
        <v>35</v>
      </c>
      <c r="E25" s="190" t="s">
        <v>137</v>
      </c>
      <c r="F25" s="54" t="s">
        <v>253</v>
      </c>
      <c r="G25" s="52" t="s">
        <v>9</v>
      </c>
      <c r="H25" s="2" t="s">
        <v>9</v>
      </c>
      <c r="I25" s="2" t="s">
        <v>9</v>
      </c>
      <c r="J25" s="51" t="s">
        <v>13</v>
      </c>
      <c r="K25" s="58" t="s">
        <v>22</v>
      </c>
      <c r="L25" s="51" t="s">
        <v>22</v>
      </c>
      <c r="N25" s="50" t="str">
        <f t="shared" si="4"/>
        <v>RE.22</v>
      </c>
      <c r="O25" s="6" t="str">
        <f t="shared" si="5"/>
        <v>Waiver of inter-state transmission charges and losses on transmission of electricity generated from solar and wind  plants</v>
      </c>
      <c r="P25" s="6" t="str">
        <f t="shared" si="0"/>
        <v>Provision of goods or services below market value</v>
      </c>
      <c r="Q25" s="6" t="str">
        <f t="shared" si="1"/>
        <v>Production</v>
      </c>
      <c r="R25" s="6" t="str">
        <f t="shared" si="2"/>
        <v>Power plant</v>
      </c>
      <c r="S25" s="52" t="s">
        <v>9</v>
      </c>
      <c r="T25" s="2" t="s">
        <v>9</v>
      </c>
      <c r="U25" s="2" t="s">
        <v>9</v>
      </c>
      <c r="V25" s="51" t="s">
        <v>13</v>
      </c>
      <c r="W25" s="58" t="s">
        <v>22</v>
      </c>
      <c r="X25" s="51" t="s">
        <v>22</v>
      </c>
    </row>
    <row r="26" spans="2:24" x14ac:dyDescent="0.25">
      <c r="B26" s="50" t="s">
        <v>239</v>
      </c>
      <c r="C26" s="6" t="s">
        <v>61</v>
      </c>
      <c r="D26" s="40" t="s">
        <v>37</v>
      </c>
      <c r="E26" s="190" t="s">
        <v>137</v>
      </c>
      <c r="F26" s="39" t="s">
        <v>253</v>
      </c>
      <c r="G26" s="84">
        <v>171</v>
      </c>
      <c r="H26" s="38">
        <v>171</v>
      </c>
      <c r="I26" s="38">
        <v>171</v>
      </c>
      <c r="J26" s="33">
        <v>171</v>
      </c>
      <c r="K26" s="31">
        <f t="shared" ref="K26" si="11">SUM(G26:J26)</f>
        <v>684</v>
      </c>
      <c r="L26" s="51">
        <f t="shared" ref="L26:L27" si="12">AVERAGE(G26:I26)</f>
        <v>171</v>
      </c>
      <c r="N26" s="50" t="str">
        <f t="shared" si="4"/>
        <v>RE.23</v>
      </c>
      <c r="O26" s="6" t="str">
        <f t="shared" si="5"/>
        <v>Generation Based Incentive (GBI) for Grid Interactive Wind Power Projects</v>
      </c>
      <c r="P26" s="6" t="str">
        <f t="shared" si="0"/>
        <v>Income or price support</v>
      </c>
      <c r="Q26" s="6" t="str">
        <f t="shared" si="1"/>
        <v>Production</v>
      </c>
      <c r="R26" s="6" t="str">
        <f t="shared" si="2"/>
        <v>Power plant</v>
      </c>
      <c r="S26" s="98">
        <f>G26*'Exchange Rates'!$F$4*10</f>
        <v>28.266233537605103</v>
      </c>
      <c r="T26" s="99">
        <f>H26*'Exchange Rates'!$G$4*10</f>
        <v>27.965349133482952</v>
      </c>
      <c r="U26" s="99">
        <f>I26*'Exchange Rates'!$H$4*10</f>
        <v>26.122384133477684</v>
      </c>
      <c r="V26" s="100">
        <f>J26*'Exchange Rates'!$I$4*10</f>
        <v>25.488302210774822</v>
      </c>
      <c r="W26" s="31">
        <f t="shared" ref="W26" si="13">SUM(S26:V26)</f>
        <v>107.84226901534056</v>
      </c>
      <c r="X26" s="51">
        <f t="shared" ref="X26:X27" si="14">AVERAGE(S26:U26)</f>
        <v>27.45132226818858</v>
      </c>
    </row>
    <row r="27" spans="2:24" ht="13.8" thickBot="1" x14ac:dyDescent="0.3">
      <c r="B27" s="143" t="s">
        <v>240</v>
      </c>
      <c r="C27" s="150" t="s">
        <v>285</v>
      </c>
      <c r="D27" s="19" t="s">
        <v>178</v>
      </c>
      <c r="E27" s="190" t="s">
        <v>137</v>
      </c>
      <c r="F27" s="42" t="s">
        <v>284</v>
      </c>
      <c r="G27" s="148">
        <v>7.49</v>
      </c>
      <c r="H27" s="149">
        <v>8.32</v>
      </c>
      <c r="I27" s="2" t="s">
        <v>9</v>
      </c>
      <c r="J27" s="2" t="s">
        <v>9</v>
      </c>
      <c r="K27" s="152">
        <f t="shared" si="3"/>
        <v>15.81</v>
      </c>
      <c r="L27" s="51">
        <f t="shared" si="12"/>
        <v>7.9050000000000002</v>
      </c>
      <c r="N27" s="50" t="str">
        <f t="shared" si="4"/>
        <v>RE.24</v>
      </c>
      <c r="O27" s="6" t="str">
        <f t="shared" si="5"/>
        <v xml:space="preserve">Market Development and Promotion of Solar Concentrators Based Process Heat Applications </v>
      </c>
      <c r="P27" s="6" t="str">
        <f t="shared" si="0"/>
        <v>Direct and indirect transfer of funds and liabilities</v>
      </c>
      <c r="Q27" s="6" t="str">
        <f t="shared" si="1"/>
        <v>Production</v>
      </c>
      <c r="R27" s="6" t="str">
        <f t="shared" si="2"/>
        <v>RE Application</v>
      </c>
      <c r="S27" s="98">
        <f>G27*'Exchange Rates'!$F$4*10</f>
        <v>1.2380940888693699</v>
      </c>
      <c r="T27" s="99">
        <f>H27*'Exchange Rates'!$G$4*10</f>
        <v>1.360653244389346</v>
      </c>
      <c r="U27" s="2" t="s">
        <v>9</v>
      </c>
      <c r="V27" s="2" t="s">
        <v>9</v>
      </c>
      <c r="W27" s="31">
        <f t="shared" si="6"/>
        <v>2.5987473332587161</v>
      </c>
      <c r="X27" s="51">
        <f t="shared" si="14"/>
        <v>1.299373666629358</v>
      </c>
    </row>
    <row r="28" spans="2:24" ht="13.8" thickBot="1" x14ac:dyDescent="0.3">
      <c r="B28" s="32"/>
      <c r="C28" s="95" t="s">
        <v>1</v>
      </c>
      <c r="D28" s="95"/>
      <c r="E28" s="95"/>
      <c r="F28" s="119"/>
      <c r="G28" s="32">
        <f t="shared" ref="G28:L28" si="15">SUM(G4:G27)</f>
        <v>2607.6899999999996</v>
      </c>
      <c r="H28" s="36">
        <f t="shared" si="15"/>
        <v>6182.12</v>
      </c>
      <c r="I28" s="36">
        <f t="shared" si="15"/>
        <v>9310.6</v>
      </c>
      <c r="J28" s="35">
        <f t="shared" si="15"/>
        <v>14501.800000000001</v>
      </c>
      <c r="K28" s="34">
        <f t="shared" si="15"/>
        <v>32602.210000000003</v>
      </c>
      <c r="L28" s="35">
        <f t="shared" si="15"/>
        <v>6440.7383333333337</v>
      </c>
      <c r="N28" s="71"/>
      <c r="O28" s="95" t="s">
        <v>1</v>
      </c>
      <c r="P28" s="95"/>
      <c r="Q28" s="95"/>
      <c r="R28" s="119"/>
      <c r="S28" s="32">
        <f t="shared" ref="S28:X28" si="16">SUM(S4:S27)</f>
        <v>431.05014347179798</v>
      </c>
      <c r="T28" s="36">
        <f t="shared" si="16"/>
        <v>1011.0242350005124</v>
      </c>
      <c r="U28" s="36">
        <f t="shared" si="16"/>
        <v>1422.3103491997506</v>
      </c>
      <c r="V28" s="35">
        <f t="shared" si="16"/>
        <v>2161.5570818725982</v>
      </c>
      <c r="W28" s="34">
        <f t="shared" si="16"/>
        <v>5025.941809544659</v>
      </c>
      <c r="X28" s="35">
        <f t="shared" si="16"/>
        <v>1018.1575615960941</v>
      </c>
    </row>
    <row r="29" spans="2:24" x14ac:dyDescent="0.25">
      <c r="B29" s="62"/>
      <c r="M29" s="63"/>
    </row>
    <row r="30" spans="2:24" ht="13.8" thickBot="1" x14ac:dyDescent="0.3">
      <c r="B30" s="5" t="s">
        <v>86</v>
      </c>
      <c r="N30" s="5" t="s">
        <v>87</v>
      </c>
    </row>
    <row r="31" spans="2:24" ht="13.8" thickBot="1" x14ac:dyDescent="0.3">
      <c r="B31" s="53" t="s">
        <v>2</v>
      </c>
      <c r="C31" s="57" t="s">
        <v>3</v>
      </c>
      <c r="D31" s="103" t="s">
        <v>310</v>
      </c>
      <c r="E31" s="103" t="s">
        <v>311</v>
      </c>
      <c r="F31" s="103" t="s">
        <v>312</v>
      </c>
      <c r="G31" s="53" t="s">
        <v>4</v>
      </c>
      <c r="H31" s="57" t="s">
        <v>5</v>
      </c>
      <c r="I31" s="57" t="s">
        <v>6</v>
      </c>
      <c r="J31" s="56" t="s">
        <v>7</v>
      </c>
      <c r="K31" s="72" t="s">
        <v>1</v>
      </c>
      <c r="L31" s="47" t="s">
        <v>309</v>
      </c>
      <c r="N31" s="53" t="s">
        <v>2</v>
      </c>
      <c r="O31" s="103" t="s">
        <v>3</v>
      </c>
      <c r="P31" s="103" t="s">
        <v>310</v>
      </c>
      <c r="Q31" s="103" t="s">
        <v>311</v>
      </c>
      <c r="R31" s="103" t="s">
        <v>312</v>
      </c>
      <c r="S31" s="53" t="s">
        <v>4</v>
      </c>
      <c r="T31" s="57" t="s">
        <v>5</v>
      </c>
      <c r="U31" s="57" t="s">
        <v>6</v>
      </c>
      <c r="V31" s="56" t="s">
        <v>7</v>
      </c>
      <c r="W31" s="72" t="s">
        <v>1</v>
      </c>
      <c r="X31" s="47" t="s">
        <v>309</v>
      </c>
    </row>
    <row r="32" spans="2:24" x14ac:dyDescent="0.25">
      <c r="B32" s="50" t="s">
        <v>240</v>
      </c>
      <c r="C32" s="6" t="s">
        <v>62</v>
      </c>
      <c r="D32" s="19" t="s">
        <v>178</v>
      </c>
      <c r="E32" s="19" t="s">
        <v>271</v>
      </c>
      <c r="F32" s="54" t="s">
        <v>284</v>
      </c>
      <c r="G32" s="52">
        <v>3.4</v>
      </c>
      <c r="H32" s="2">
        <v>119.8</v>
      </c>
      <c r="I32" s="2">
        <v>185</v>
      </c>
      <c r="J32" s="51" t="s">
        <v>14</v>
      </c>
      <c r="K32" s="58">
        <f>SUM(G32:J32)</f>
        <v>308.2</v>
      </c>
      <c r="L32" s="51">
        <f t="shared" ref="L32:L36" si="17">AVERAGE(G32:I32)</f>
        <v>102.73333333333333</v>
      </c>
      <c r="N32" s="50" t="str">
        <f t="shared" ref="N32:N36" si="18">B32</f>
        <v>RE.24</v>
      </c>
      <c r="O32" s="6" t="str">
        <f t="shared" ref="O32:O36" si="19">C32</f>
        <v>Off-grid Solar PV and Thermal Applications</v>
      </c>
      <c r="P32" s="6" t="str">
        <f t="shared" ref="P32:P36" si="20">D32</f>
        <v>Direct and indirect transfer of funds and liabilities</v>
      </c>
      <c r="Q32" s="6" t="str">
        <f t="shared" ref="Q32:Q36" si="21">E32</f>
        <v>Production and Consumption</v>
      </c>
      <c r="R32" s="6" t="str">
        <f t="shared" ref="R32:R36" si="22">F32</f>
        <v>RE Application</v>
      </c>
      <c r="S32" s="98">
        <f>G32*'Exchange Rates'!$F$4*10</f>
        <v>0.5620186785254816</v>
      </c>
      <c r="T32" s="99">
        <f>H32*'Exchange Rates'!$G$4*10</f>
        <v>19.592098398779282</v>
      </c>
      <c r="U32" s="99">
        <f>I32*'Exchange Rates'!$H$4*10</f>
        <v>28.261058857855975</v>
      </c>
      <c r="V32" s="51" t="s">
        <v>13</v>
      </c>
      <c r="W32" s="58">
        <f>SUM(S32:V32)</f>
        <v>48.41517593516074</v>
      </c>
      <c r="X32" s="51">
        <f t="shared" ref="X32:X36" si="23">AVERAGE(S32:U32)</f>
        <v>16.138391978386913</v>
      </c>
    </row>
    <row r="33" spans="2:24" x14ac:dyDescent="0.25">
      <c r="B33" s="50" t="s">
        <v>241</v>
      </c>
      <c r="C33" s="6" t="s">
        <v>63</v>
      </c>
      <c r="D33" s="19" t="s">
        <v>178</v>
      </c>
      <c r="E33" s="19" t="s">
        <v>271</v>
      </c>
      <c r="F33" s="54" t="s">
        <v>284</v>
      </c>
      <c r="G33" s="52">
        <v>52.5</v>
      </c>
      <c r="H33" s="2">
        <v>52.5</v>
      </c>
      <c r="I33" s="2">
        <v>52.5</v>
      </c>
      <c r="J33" s="51" t="s">
        <v>9</v>
      </c>
      <c r="K33" s="58">
        <f t="shared" ref="K33:K36" si="24">SUM(G33:J33)</f>
        <v>157.5</v>
      </c>
      <c r="L33" s="51">
        <f t="shared" si="17"/>
        <v>52.5</v>
      </c>
      <c r="N33" s="50" t="str">
        <f t="shared" si="18"/>
        <v>RE.25</v>
      </c>
      <c r="O33" s="6" t="str">
        <f t="shared" si="19"/>
        <v>Energisation of Street Lights through Solar Power</v>
      </c>
      <c r="P33" s="6" t="str">
        <f t="shared" si="20"/>
        <v>Direct and indirect transfer of funds and liabilities</v>
      </c>
      <c r="Q33" s="6" t="str">
        <f t="shared" si="21"/>
        <v>Production and Consumption</v>
      </c>
      <c r="R33" s="6" t="str">
        <f t="shared" si="22"/>
        <v>RE Application</v>
      </c>
      <c r="S33" s="98">
        <f>G33*'Exchange Rates'!$F$4*10</f>
        <v>8.6782295948787596</v>
      </c>
      <c r="T33" s="99">
        <f>H33*'Exchange Rates'!$G$4*10</f>
        <v>8.5858528041395026</v>
      </c>
      <c r="U33" s="99">
        <f>I33*'Exchange Rates'!$H$4*10</f>
        <v>8.0200302164185882</v>
      </c>
      <c r="V33" s="51" t="s">
        <v>9</v>
      </c>
      <c r="W33" s="58">
        <f t="shared" ref="W33:W36" si="25">SUM(S33:V33)</f>
        <v>25.284112615436854</v>
      </c>
      <c r="X33" s="51">
        <f t="shared" si="23"/>
        <v>8.4280375384789519</v>
      </c>
    </row>
    <row r="34" spans="2:24" x14ac:dyDescent="0.25">
      <c r="B34" s="50" t="s">
        <v>242</v>
      </c>
      <c r="C34" s="6" t="s">
        <v>64</v>
      </c>
      <c r="D34" s="19" t="s">
        <v>178</v>
      </c>
      <c r="E34" s="19" t="s">
        <v>271</v>
      </c>
      <c r="F34" s="54" t="s">
        <v>284</v>
      </c>
      <c r="G34" s="52">
        <v>36</v>
      </c>
      <c r="H34" s="2">
        <v>36</v>
      </c>
      <c r="I34" s="2">
        <v>36</v>
      </c>
      <c r="J34" s="51" t="s">
        <v>9</v>
      </c>
      <c r="K34" s="58">
        <f t="shared" si="24"/>
        <v>108</v>
      </c>
      <c r="L34" s="51">
        <f t="shared" si="17"/>
        <v>36</v>
      </c>
      <c r="N34" s="50" t="str">
        <f t="shared" si="18"/>
        <v>RE.26</v>
      </c>
      <c r="O34" s="6" t="str">
        <f t="shared" si="19"/>
        <v>CM’S Solar Powered Green House Scheme</v>
      </c>
      <c r="P34" s="6" t="str">
        <f t="shared" si="20"/>
        <v>Direct and indirect transfer of funds and liabilities</v>
      </c>
      <c r="Q34" s="6" t="str">
        <f t="shared" si="21"/>
        <v>Production and Consumption</v>
      </c>
      <c r="R34" s="6" t="str">
        <f t="shared" si="22"/>
        <v>RE Application</v>
      </c>
      <c r="S34" s="98">
        <f>G34*'Exchange Rates'!$F$4*10</f>
        <v>5.9507860079168644</v>
      </c>
      <c r="T34" s="99">
        <f>H34*'Exchange Rates'!$G$4*10</f>
        <v>5.8874419228385166</v>
      </c>
      <c r="U34" s="99">
        <f>I34*'Exchange Rates'!$H$4*10</f>
        <v>5.4994492912584603</v>
      </c>
      <c r="V34" s="51" t="s">
        <v>9</v>
      </c>
      <c r="W34" s="58">
        <f t="shared" si="25"/>
        <v>17.337677222013841</v>
      </c>
      <c r="X34" s="51">
        <f t="shared" si="23"/>
        <v>5.7792257406712801</v>
      </c>
    </row>
    <row r="35" spans="2:24" x14ac:dyDescent="0.25">
      <c r="B35" s="50" t="s">
        <v>243</v>
      </c>
      <c r="C35" s="6" t="s">
        <v>65</v>
      </c>
      <c r="D35" s="19" t="s">
        <v>178</v>
      </c>
      <c r="E35" s="19" t="s">
        <v>271</v>
      </c>
      <c r="F35" s="54" t="s">
        <v>284</v>
      </c>
      <c r="G35" s="52">
        <v>1.3</v>
      </c>
      <c r="H35" s="2">
        <v>1.3</v>
      </c>
      <c r="I35" s="2">
        <v>1.3</v>
      </c>
      <c r="J35" s="51" t="s">
        <v>14</v>
      </c>
      <c r="K35" s="58">
        <f t="shared" si="24"/>
        <v>3.9000000000000004</v>
      </c>
      <c r="L35" s="51">
        <f t="shared" si="17"/>
        <v>1.3</v>
      </c>
      <c r="N35" s="50" t="str">
        <f t="shared" si="18"/>
        <v>RE.27</v>
      </c>
      <c r="O35" s="6" t="str">
        <f t="shared" si="19"/>
        <v>CM’s Solar Rooftop Capital Incentive Scheme</v>
      </c>
      <c r="P35" s="6" t="str">
        <f t="shared" si="20"/>
        <v>Direct and indirect transfer of funds and liabilities</v>
      </c>
      <c r="Q35" s="6" t="str">
        <f t="shared" si="21"/>
        <v>Production and Consumption</v>
      </c>
      <c r="R35" s="6" t="str">
        <f t="shared" si="22"/>
        <v>RE Application</v>
      </c>
      <c r="S35" s="98">
        <f>G35*'Exchange Rates'!$F$4*10</f>
        <v>0.2148894947303312</v>
      </c>
      <c r="T35" s="99">
        <f>H35*'Exchange Rates'!$G$4*10</f>
        <v>0.21260206943583532</v>
      </c>
      <c r="U35" s="99">
        <f>I35*'Exchange Rates'!$H$4*10</f>
        <v>0.19859122440655549</v>
      </c>
      <c r="V35" s="51" t="s">
        <v>14</v>
      </c>
      <c r="W35" s="58">
        <f t="shared" si="25"/>
        <v>0.62608278857272204</v>
      </c>
      <c r="X35" s="51">
        <f t="shared" si="23"/>
        <v>0.208694262857574</v>
      </c>
    </row>
    <row r="36" spans="2:24" ht="13.8" thickBot="1" x14ac:dyDescent="0.3">
      <c r="B36" s="94" t="s">
        <v>244</v>
      </c>
      <c r="C36" s="85" t="s">
        <v>66</v>
      </c>
      <c r="D36" s="85" t="s">
        <v>37</v>
      </c>
      <c r="E36" s="190" t="s">
        <v>137</v>
      </c>
      <c r="F36" s="121" t="s">
        <v>253</v>
      </c>
      <c r="G36" s="84">
        <v>0.81</v>
      </c>
      <c r="H36" s="38">
        <v>2.08</v>
      </c>
      <c r="I36" s="38">
        <v>12.58</v>
      </c>
      <c r="J36" s="33" t="s">
        <v>13</v>
      </c>
      <c r="K36" s="31">
        <f t="shared" si="24"/>
        <v>15.47</v>
      </c>
      <c r="L36" s="51">
        <f t="shared" si="17"/>
        <v>5.1566666666666672</v>
      </c>
      <c r="N36" s="50" t="str">
        <f t="shared" si="18"/>
        <v>RE.28</v>
      </c>
      <c r="O36" s="6" t="str">
        <f t="shared" si="19"/>
        <v xml:space="preserve">Feed-in-Tariff Benefits </v>
      </c>
      <c r="P36" s="6" t="str">
        <f t="shared" si="20"/>
        <v>Income or price support</v>
      </c>
      <c r="Q36" s="6" t="str">
        <f t="shared" si="21"/>
        <v>Production</v>
      </c>
      <c r="R36" s="6" t="str">
        <f t="shared" si="22"/>
        <v>Power plant</v>
      </c>
      <c r="S36" s="98">
        <f>G36*'Exchange Rates'!$F$4*10</f>
        <v>0.13389268517812944</v>
      </c>
      <c r="T36" s="99">
        <f>H36*'Exchange Rates'!$G$4*10</f>
        <v>0.3401633110973365</v>
      </c>
      <c r="U36" s="99">
        <f>I36*'Exchange Rates'!$H$4*10</f>
        <v>1.9217520023342063</v>
      </c>
      <c r="V36" s="33" t="s">
        <v>13</v>
      </c>
      <c r="W36" s="31">
        <f t="shared" si="25"/>
        <v>2.3958079986096723</v>
      </c>
      <c r="X36" s="51">
        <f t="shared" si="23"/>
        <v>0.79860266620322407</v>
      </c>
    </row>
    <row r="37" spans="2:24" ht="13.8" thickBot="1" x14ac:dyDescent="0.3">
      <c r="B37" s="32"/>
      <c r="C37" s="95" t="s">
        <v>1</v>
      </c>
      <c r="D37" s="95"/>
      <c r="E37" s="95"/>
      <c r="F37" s="119"/>
      <c r="G37" s="32">
        <f>SUM(G32:G36)</f>
        <v>94.01</v>
      </c>
      <c r="H37" s="36">
        <f t="shared" ref="H37:I37" si="26">SUM(H32:H36)</f>
        <v>211.68000000000004</v>
      </c>
      <c r="I37" s="36">
        <f t="shared" si="26"/>
        <v>287.38</v>
      </c>
      <c r="J37" s="35" t="s">
        <v>22</v>
      </c>
      <c r="K37" s="34">
        <f t="shared" ref="K37" si="27">SUM(K32:K36)</f>
        <v>593.07000000000005</v>
      </c>
      <c r="L37" s="35">
        <f t="shared" ref="L37" si="28">SUM(L32:L36)</f>
        <v>197.69000000000003</v>
      </c>
      <c r="N37" s="71"/>
      <c r="O37" s="95" t="s">
        <v>1</v>
      </c>
      <c r="P37" s="95"/>
      <c r="Q37" s="95"/>
      <c r="R37" s="119"/>
      <c r="S37" s="32">
        <f>SUM(S32:S36)</f>
        <v>15.539816461229565</v>
      </c>
      <c r="T37" s="36">
        <f t="shared" ref="T37:X37" si="29">SUM(T32:T36)</f>
        <v>34.618158506290477</v>
      </c>
      <c r="U37" s="36">
        <f t="shared" si="29"/>
        <v>43.900881592273784</v>
      </c>
      <c r="V37" s="35" t="s">
        <v>22</v>
      </c>
      <c r="W37" s="34">
        <f t="shared" si="29"/>
        <v>94.058856559793824</v>
      </c>
      <c r="X37" s="35">
        <f t="shared" si="29"/>
        <v>31.352952186597943</v>
      </c>
    </row>
    <row r="43" spans="2:24" x14ac:dyDescent="0.25">
      <c r="J43" s="191"/>
    </row>
  </sheetData>
  <pageMargins left="0.7" right="0.7" top="0.75" bottom="0.75" header="0.3" footer="0.3"/>
  <pageSetup orientation="portrait" r:id="rId1"/>
  <ignoredErrors>
    <ignoredError sqref="L4:L30 L32:L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Z9"/>
  <sheetViews>
    <sheetView zoomScale="75" zoomScaleNormal="75" workbookViewId="0">
      <selection activeCell="J12" sqref="J12"/>
    </sheetView>
  </sheetViews>
  <sheetFormatPr defaultColWidth="8.88671875" defaultRowHeight="14.4" x14ac:dyDescent="0.3"/>
  <cols>
    <col min="1" max="1" width="3.6640625" style="113" customWidth="1"/>
    <col min="2" max="16384" width="8.88671875" style="113"/>
  </cols>
  <sheetData>
    <row r="2" spans="2:26" s="14" customFormat="1" ht="13.2" x14ac:dyDescent="0.25">
      <c r="B2" s="106" t="s">
        <v>245</v>
      </c>
      <c r="E2" s="16"/>
      <c r="F2" s="22"/>
      <c r="G2" s="22"/>
      <c r="H2" s="22"/>
      <c r="I2" s="22"/>
      <c r="J2" s="16"/>
      <c r="K2" s="23"/>
      <c r="L2" s="22"/>
      <c r="N2" s="16"/>
      <c r="X2" s="23"/>
      <c r="Y2" s="22"/>
    </row>
    <row r="3" spans="2:26" s="61" customFormat="1" ht="13.2" x14ac:dyDescent="0.25">
      <c r="B3" s="24" t="s">
        <v>129</v>
      </c>
      <c r="F3" s="109" t="s">
        <v>4</v>
      </c>
      <c r="G3" s="109" t="s">
        <v>5</v>
      </c>
      <c r="H3" s="109" t="s">
        <v>6</v>
      </c>
      <c r="I3" s="109" t="s">
        <v>7</v>
      </c>
    </row>
    <row r="4" spans="2:26" s="61" customFormat="1" ht="13.2" x14ac:dyDescent="0.25">
      <c r="B4" s="24"/>
      <c r="F4" s="110">
        <v>1.65299611331024E-2</v>
      </c>
      <c r="G4" s="110">
        <v>1.63540053412181E-2</v>
      </c>
      <c r="H4" s="110">
        <v>1.52762480312735E-2</v>
      </c>
      <c r="I4" s="110">
        <v>1.4905439889342001E-2</v>
      </c>
      <c r="J4" s="107"/>
      <c r="K4" s="107"/>
    </row>
    <row r="5" spans="2:26" s="61" customFormat="1" ht="13.2" x14ac:dyDescent="0.25">
      <c r="B5" s="24"/>
      <c r="F5" s="116"/>
      <c r="G5" s="116"/>
      <c r="H5" s="116"/>
      <c r="I5" s="116"/>
      <c r="J5" s="107"/>
      <c r="K5" s="107"/>
    </row>
    <row r="6" spans="2:26" s="14" customFormat="1" ht="13.2" x14ac:dyDescent="0.25">
      <c r="B6" s="24" t="s">
        <v>88</v>
      </c>
      <c r="F6" s="114">
        <v>10000000</v>
      </c>
      <c r="G6" s="114"/>
      <c r="H6" s="114"/>
      <c r="I6" s="114"/>
      <c r="J6" s="114"/>
      <c r="K6" s="114"/>
      <c r="L6" s="17"/>
      <c r="M6" s="16"/>
      <c r="O6" s="24"/>
      <c r="Y6" s="17"/>
      <c r="Z6" s="16"/>
    </row>
    <row r="7" spans="2:26" s="14" customFormat="1" ht="13.2" x14ac:dyDescent="0.25">
      <c r="B7" s="24" t="s">
        <v>130</v>
      </c>
      <c r="F7" s="114">
        <v>1000000</v>
      </c>
      <c r="G7" s="114"/>
      <c r="H7" s="114"/>
      <c r="I7" s="114"/>
      <c r="J7" s="114"/>
      <c r="K7" s="114"/>
      <c r="L7" s="17"/>
      <c r="M7" s="16"/>
      <c r="O7" s="24"/>
      <c r="Y7" s="17"/>
      <c r="Z7" s="16"/>
    </row>
    <row r="8" spans="2:26" s="14" customFormat="1" ht="13.2" x14ac:dyDescent="0.25">
      <c r="B8" s="24" t="s">
        <v>131</v>
      </c>
      <c r="F8" s="114">
        <v>10</v>
      </c>
      <c r="G8" s="114"/>
      <c r="H8" s="114"/>
      <c r="I8" s="114"/>
      <c r="J8" s="114"/>
      <c r="K8" s="114"/>
      <c r="L8" s="17"/>
      <c r="M8" s="16"/>
      <c r="O8" s="24"/>
      <c r="Y8" s="17"/>
      <c r="Z8" s="16"/>
    </row>
    <row r="9" spans="2:26" s="61" customFormat="1" ht="13.2" x14ac:dyDescent="0.25">
      <c r="B9" s="112"/>
      <c r="J9" s="60"/>
      <c r="M9" s="111"/>
      <c r="U9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Subsidy Classifications</vt:lpstr>
      <vt:lpstr>T&amp;D</vt:lpstr>
      <vt:lpstr>Coal</vt:lpstr>
      <vt:lpstr>O&amp;G</vt:lpstr>
      <vt:lpstr>Renewable</vt:lpstr>
      <vt:lpstr>Exchange Rates</vt:lpstr>
    </vt:vector>
  </TitlesOfParts>
  <Company>ICFI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Jain, Apurva</dc:creator>
  <cp:lastModifiedBy>Christopher Beaton</cp:lastModifiedBy>
  <dcterms:created xsi:type="dcterms:W3CDTF">2017-07-31T08:34:40Z</dcterms:created>
  <dcterms:modified xsi:type="dcterms:W3CDTF">2017-11-30T16:29:19Z</dcterms:modified>
</cp:coreProperties>
</file>